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/>
  </bookViews>
  <sheets>
    <sheet name="Приложение № 2" sheetId="21" r:id="rId1"/>
    <sheet name="Приложение № 3" sheetId="15" r:id="rId2"/>
    <sheet name="Приложение № 4" sheetId="24" r:id="rId3"/>
    <sheet name="Приложение № 5" sheetId="9" r:id="rId4"/>
    <sheet name="Приложение № 6" sheetId="17" r:id="rId5"/>
  </sheets>
  <externalReferences>
    <externalReference r:id="rId6"/>
    <externalReference r:id="rId7"/>
    <externalReference r:id="rId8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3">(#REF!,#REF!)</definedName>
    <definedName name="_4Excel_BuiltIn_Print_Titles_8_1">(#REF!,#REF!)</definedName>
    <definedName name="_xlnm._FilterDatabase" localSheetId="0" hidden="1">'Приложение № 2'!$A$11:$K$340</definedName>
    <definedName name="_xlnm._FilterDatabase" localSheetId="1" hidden="1">'Приложение № 3'!$A$9:$G$190</definedName>
    <definedName name="AccessDatabase" hidden="1">"C:\db1.mdb"</definedName>
    <definedName name="akt_nom" localSheetId="0">#REF!</definedName>
    <definedName name="akt_nom" localSheetId="3">#REF!</definedName>
    <definedName name="akt_nom">#REF!</definedName>
    <definedName name="beg" localSheetId="0">#REF!</definedName>
    <definedName name="beg" localSheetId="3">#REF!</definedName>
    <definedName name="beg">#REF!</definedName>
    <definedName name="begin" localSheetId="0">#REF!</definedName>
    <definedName name="begin" localSheetId="3">#REF!</definedName>
    <definedName name="begin">#REF!</definedName>
    <definedName name="dgdg" localSheetId="0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3">#REF!</definedName>
    <definedName name="Excel_BuiltIn_Print_Titles_1">#REF!</definedName>
    <definedName name="name_mo" localSheetId="0">#REF!</definedName>
    <definedName name="name_mo" localSheetId="3">#REF!</definedName>
    <definedName name="name_mo">#REF!</definedName>
    <definedName name="njknljl" localSheetId="0">#REF!</definedName>
    <definedName name="njknljl" localSheetId="3">#REF!</definedName>
    <definedName name="njknljl">#REF!</definedName>
    <definedName name="qwedqfd" localSheetId="0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3">#REF!</definedName>
    <definedName name="reestr">#REF!</definedName>
    <definedName name="Ryb">[1]Сентябрь_свод!$A$1:$H$118</definedName>
    <definedName name="s" localSheetId="0">#REF!</definedName>
    <definedName name="s" localSheetId="3">#REF!</definedName>
    <definedName name="s">#REF!</definedName>
    <definedName name="tit" localSheetId="0">#REF!</definedName>
    <definedName name="tit" localSheetId="3">#REF!</definedName>
    <definedName name="tit">#REF!</definedName>
    <definedName name="А1" localSheetId="0">#REF!</definedName>
    <definedName name="А1" localSheetId="3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3">#REF!</definedName>
    <definedName name="_xlnm.Database">#REF!</definedName>
    <definedName name="д" localSheetId="0">#REF!</definedName>
    <definedName name="д" localSheetId="3">#REF!</definedName>
    <definedName name="д">#REF!</definedName>
    <definedName name="зщ">[3]Сентябрь_свод!$A$1:$H$118</definedName>
    <definedName name="ипр" localSheetId="0">#REF!</definedName>
    <definedName name="ипр" localSheetId="3">#REF!</definedName>
    <definedName name="ипр">#REF!</definedName>
    <definedName name="лдл" localSheetId="0">#REF!</definedName>
    <definedName name="лдл" localSheetId="3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3">'Приложение № 5'!$A$6:$U$65</definedName>
    <definedName name="_xlnm.Print_Area">#REF!</definedName>
    <definedName name="ор" localSheetId="0">#REF!</definedName>
    <definedName name="ор" localSheetId="3">#REF!</definedName>
    <definedName name="ор">#REF!</definedName>
    <definedName name="пеее" localSheetId="0">#REF!</definedName>
    <definedName name="пеее" localSheetId="3">#REF!</definedName>
    <definedName name="пеее">#REF!</definedName>
    <definedName name="пр" localSheetId="0">#REF!</definedName>
    <definedName name="пр" localSheetId="3">#REF!</definedName>
    <definedName name="пр">#REF!</definedName>
    <definedName name="при" localSheetId="0">#REF!</definedName>
    <definedName name="при" localSheetId="3">#REF!</definedName>
    <definedName name="при">#REF!</definedName>
    <definedName name="прил" localSheetId="0">#REF!</definedName>
    <definedName name="прил" localSheetId="3">#REF!</definedName>
    <definedName name="прил">#REF!</definedName>
    <definedName name="расчет1" localSheetId="0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3">#REF!</definedName>
    <definedName name="решение">#REF!</definedName>
    <definedName name="ро" localSheetId="0">#REF!</definedName>
    <definedName name="ро" localSheetId="3">#REF!</definedName>
    <definedName name="ро">#REF!</definedName>
    <definedName name="що" localSheetId="0">#REF!</definedName>
    <definedName name="що" localSheetId="3">#REF!</definedName>
    <definedName name="що">#REF!</definedName>
    <definedName name="яяяя" localSheetId="0">(#REF!,#REF!)</definedName>
    <definedName name="яяяя" localSheetId="3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4" i="15" l="1"/>
  <c r="E82" i="24"/>
  <c r="C82" i="24"/>
  <c r="C89" i="24"/>
  <c r="C90" i="24"/>
  <c r="C94" i="24"/>
  <c r="C95" i="24"/>
  <c r="C96" i="24"/>
  <c r="C101" i="24"/>
  <c r="C102" i="24"/>
  <c r="C107" i="24"/>
  <c r="C108" i="24"/>
  <c r="C113" i="24"/>
  <c r="C114" i="24"/>
  <c r="C116" i="24"/>
  <c r="C119" i="24"/>
  <c r="C122" i="24"/>
  <c r="C124" i="24"/>
  <c r="C125" i="24"/>
  <c r="C128" i="24"/>
  <c r="C131" i="24"/>
  <c r="C132" i="24"/>
  <c r="C134" i="24"/>
  <c r="E136" i="24"/>
  <c r="F136" i="24"/>
  <c r="D172" i="24"/>
  <c r="F172" i="24"/>
  <c r="C205" i="24"/>
  <c r="D261" i="24"/>
  <c r="D322" i="24"/>
  <c r="C379" i="24"/>
  <c r="D379" i="24"/>
  <c r="E379" i="24"/>
  <c r="F379" i="24"/>
  <c r="C423" i="24"/>
  <c r="D423" i="24"/>
  <c r="E423" i="24"/>
  <c r="F423" i="24"/>
  <c r="G423" i="24"/>
  <c r="C464" i="24"/>
  <c r="D464" i="24"/>
  <c r="E172" i="24" l="1"/>
  <c r="C123" i="24"/>
  <c r="C84" i="24"/>
  <c r="C117" i="24"/>
  <c r="C111" i="24"/>
  <c r="C105" i="24"/>
  <c r="C172" i="24"/>
  <c r="C130" i="24"/>
  <c r="C99" i="24"/>
  <c r="G136" i="24"/>
  <c r="E84" i="24"/>
  <c r="C93" i="24"/>
  <c r="C135" i="24"/>
  <c r="C126" i="24"/>
  <c r="C92" i="24"/>
  <c r="C120" i="24"/>
  <c r="C118" i="24"/>
  <c r="C112" i="24"/>
  <c r="C110" i="24"/>
  <c r="C106" i="24"/>
  <c r="C104" i="24"/>
  <c r="C129" i="24"/>
  <c r="C100" i="24"/>
  <c r="C98" i="24"/>
  <c r="C133" i="24"/>
  <c r="C127" i="24"/>
  <c r="C121" i="24"/>
  <c r="C115" i="24"/>
  <c r="C109" i="24"/>
  <c r="C103" i="24"/>
  <c r="C97" i="24"/>
  <c r="C91" i="24"/>
  <c r="D136" i="24"/>
  <c r="D82" i="24"/>
  <c r="F41" i="15"/>
  <c r="C136" i="24" l="1"/>
  <c r="D84" i="24"/>
  <c r="F42" i="15"/>
  <c r="F174" i="15" l="1"/>
  <c r="E174" i="15"/>
  <c r="F172" i="15"/>
  <c r="E164" i="15"/>
  <c r="E149" i="15"/>
  <c r="F125" i="15"/>
  <c r="E125" i="15"/>
  <c r="F109" i="15"/>
  <c r="F106" i="15"/>
  <c r="E109" i="15"/>
  <c r="E106" i="15"/>
  <c r="E88" i="15"/>
  <c r="E90" i="15"/>
  <c r="E84" i="15"/>
  <c r="E82" i="15"/>
  <c r="E66" i="15"/>
  <c r="E62" i="15" l="1"/>
  <c r="E63" i="15"/>
  <c r="E42" i="15"/>
  <c r="F23" i="15"/>
  <c r="E23" i="15"/>
  <c r="E20" i="15"/>
  <c r="F408" i="21" l="1"/>
  <c r="F402" i="21"/>
  <c r="F404" i="21"/>
  <c r="F396" i="21"/>
  <c r="J301" i="21"/>
  <c r="G301" i="21"/>
  <c r="I336" i="21" l="1"/>
  <c r="H336" i="21" s="1"/>
  <c r="I273" i="21"/>
  <c r="I209" i="21"/>
  <c r="F209" i="21"/>
  <c r="I204" i="21"/>
  <c r="I196" i="21"/>
  <c r="I197" i="21"/>
  <c r="I193" i="21" l="1"/>
  <c r="F197" i="21" l="1"/>
  <c r="E197" i="21" s="1"/>
  <c r="F196" i="21"/>
  <c r="E196" i="21" s="1"/>
  <c r="F195" i="21"/>
  <c r="E195" i="21" s="1"/>
  <c r="F194" i="21"/>
  <c r="E194" i="21" s="1"/>
  <c r="F193" i="21"/>
  <c r="E193" i="21" s="1"/>
  <c r="F190" i="21"/>
  <c r="E190" i="21" s="1"/>
  <c r="E198" i="21" l="1"/>
  <c r="I295" i="21" l="1"/>
  <c r="F297" i="21"/>
  <c r="F294" i="21"/>
  <c r="I318" i="21"/>
  <c r="I326" i="21"/>
  <c r="I330" i="21"/>
  <c r="F336" i="21"/>
  <c r="I170" i="21"/>
  <c r="I171" i="21"/>
  <c r="F171" i="21"/>
  <c r="F170" i="21"/>
  <c r="I158" i="21"/>
  <c r="F158" i="21"/>
  <c r="I146" i="21"/>
  <c r="I151" i="21"/>
  <c r="I118" i="21"/>
  <c r="I117" i="21"/>
  <c r="I112" i="21"/>
  <c r="I97" i="21"/>
  <c r="I96" i="21"/>
  <c r="I81" i="21"/>
  <c r="I57" i="21"/>
  <c r="I56" i="21"/>
  <c r="I124" i="21"/>
  <c r="I130" i="21"/>
  <c r="J134" i="21"/>
  <c r="F134" i="21"/>
  <c r="G134" i="21"/>
  <c r="H132" i="21"/>
  <c r="E132" i="21"/>
  <c r="H131" i="21" l="1"/>
  <c r="E131" i="21"/>
  <c r="I30" i="21"/>
  <c r="I31" i="21"/>
  <c r="I21" i="21"/>
  <c r="A157" i="21"/>
  <c r="A268" i="21"/>
  <c r="A269" i="21" s="1"/>
  <c r="A270" i="21" s="1"/>
  <c r="F229" i="15" l="1"/>
  <c r="F228" i="15"/>
  <c r="F220" i="15"/>
  <c r="K215" i="15"/>
  <c r="J215" i="15"/>
  <c r="I215" i="15"/>
  <c r="H215" i="15"/>
  <c r="G215" i="15"/>
  <c r="F215" i="15"/>
  <c r="E215" i="15"/>
  <c r="K214" i="15"/>
  <c r="J214" i="15"/>
  <c r="I214" i="15"/>
  <c r="H214" i="15"/>
  <c r="E206" i="15"/>
  <c r="F202" i="15"/>
  <c r="E202" i="15"/>
  <c r="F200" i="15"/>
  <c r="E200" i="15"/>
  <c r="E199" i="15"/>
  <c r="E198" i="15" s="1"/>
  <c r="F198" i="15"/>
  <c r="F196" i="15"/>
  <c r="E196" i="15"/>
  <c r="F194" i="15"/>
  <c r="E194" i="15"/>
  <c r="F193" i="15"/>
  <c r="F192" i="15" s="1"/>
  <c r="E193" i="15"/>
  <c r="E192" i="15" s="1"/>
  <c r="F190" i="15"/>
  <c r="E190" i="15"/>
  <c r="F188" i="15"/>
  <c r="E188" i="15"/>
  <c r="F187" i="15"/>
  <c r="F186" i="15" s="1"/>
  <c r="E187" i="15"/>
  <c r="E186" i="15" s="1"/>
  <c r="F184" i="15"/>
  <c r="E184" i="15"/>
  <c r="F183" i="15"/>
  <c r="F182" i="15" s="1"/>
  <c r="E183" i="15"/>
  <c r="E182" i="15"/>
  <c r="F178" i="15"/>
  <c r="F175" i="15" s="1"/>
  <c r="E175" i="15"/>
  <c r="F173" i="15"/>
  <c r="E173" i="15"/>
  <c r="F171" i="15"/>
  <c r="E172" i="15"/>
  <c r="E171" i="15" s="1"/>
  <c r="F170" i="15"/>
  <c r="F169" i="15" s="1"/>
  <c r="E170" i="15"/>
  <c r="E169" i="15" s="1"/>
  <c r="F168" i="15"/>
  <c r="F165" i="15" s="1"/>
  <c r="E168" i="15"/>
  <c r="E165" i="15"/>
  <c r="E162" i="15"/>
  <c r="F162" i="15"/>
  <c r="F160" i="15"/>
  <c r="E160" i="15"/>
  <c r="E158" i="15" s="1"/>
  <c r="F158" i="15"/>
  <c r="F155" i="15"/>
  <c r="E155" i="15"/>
  <c r="F150" i="15"/>
  <c r="E150" i="15"/>
  <c r="F148" i="15"/>
  <c r="E148" i="15"/>
  <c r="F146" i="15"/>
  <c r="E146" i="15"/>
  <c r="E145" i="15" s="1"/>
  <c r="F145" i="15"/>
  <c r="F136" i="15"/>
  <c r="E136" i="15"/>
  <c r="F134" i="15"/>
  <c r="E134" i="15"/>
  <c r="E132" i="15"/>
  <c r="E131" i="15" s="1"/>
  <c r="F131" i="15"/>
  <c r="F129" i="15"/>
  <c r="F127" i="15" s="1"/>
  <c r="E129" i="15"/>
  <c r="E127" i="15"/>
  <c r="F123" i="15"/>
  <c r="E123" i="15"/>
  <c r="E122" i="15"/>
  <c r="E121" i="15" s="1"/>
  <c r="F121" i="15"/>
  <c r="F119" i="15"/>
  <c r="E119" i="15"/>
  <c r="F117" i="15"/>
  <c r="E117" i="15"/>
  <c r="F115" i="15"/>
  <c r="F114" i="15"/>
  <c r="F110" i="15"/>
  <c r="F108" i="15"/>
  <c r="F105" i="15" s="1"/>
  <c r="E105" i="15"/>
  <c r="F104" i="15"/>
  <c r="F102" i="15"/>
  <c r="F101" i="15" s="1"/>
  <c r="E101" i="15"/>
  <c r="F100" i="15"/>
  <c r="F98" i="15" s="1"/>
  <c r="E100" i="15"/>
  <c r="E98" i="15"/>
  <c r="F95" i="15"/>
  <c r="F93" i="15" s="1"/>
  <c r="E95" i="15"/>
  <c r="E93" i="15" s="1"/>
  <c r="F91" i="15"/>
  <c r="F88" i="15"/>
  <c r="E81" i="15"/>
  <c r="F86" i="15"/>
  <c r="F81" i="15" s="1"/>
  <c r="F80" i="15"/>
  <c r="F75" i="15" s="1"/>
  <c r="E80" i="15"/>
  <c r="E75" i="15"/>
  <c r="F73" i="15"/>
  <c r="F72" i="15" s="1"/>
  <c r="E73" i="15"/>
  <c r="E72" i="15" s="1"/>
  <c r="F69" i="15"/>
  <c r="E69" i="15"/>
  <c r="F67" i="15"/>
  <c r="E67" i="15"/>
  <c r="F65" i="15"/>
  <c r="F64" i="15" s="1"/>
  <c r="E65" i="15"/>
  <c r="E64" i="15" s="1"/>
  <c r="F63" i="15"/>
  <c r="F62" i="15"/>
  <c r="F61" i="15" s="1"/>
  <c r="E61" i="15"/>
  <c r="F60" i="15"/>
  <c r="E60" i="15"/>
  <c r="F59" i="15"/>
  <c r="E59" i="15"/>
  <c r="F56" i="15"/>
  <c r="E56" i="15"/>
  <c r="F53" i="15"/>
  <c r="E53" i="15"/>
  <c r="F47" i="15"/>
  <c r="E47" i="15"/>
  <c r="F43" i="15"/>
  <c r="E40" i="15"/>
  <c r="F36" i="15"/>
  <c r="E36" i="15"/>
  <c r="E31" i="15" s="1"/>
  <c r="F33" i="15"/>
  <c r="F31" i="15" s="1"/>
  <c r="F30" i="15"/>
  <c r="E30" i="15"/>
  <c r="F29" i="15"/>
  <c r="E29" i="15"/>
  <c r="F28" i="15"/>
  <c r="F27" i="15" s="1"/>
  <c r="E28" i="15"/>
  <c r="E27" i="15" s="1"/>
  <c r="F24" i="15"/>
  <c r="E24" i="15"/>
  <c r="F22" i="15"/>
  <c r="E22" i="15"/>
  <c r="E16" i="15"/>
  <c r="F16" i="15"/>
  <c r="F15" i="15"/>
  <c r="F13" i="15"/>
  <c r="F12" i="15" s="1"/>
  <c r="E12" i="15"/>
  <c r="F10" i="15"/>
  <c r="E10" i="15"/>
  <c r="F58" i="15" l="1"/>
  <c r="F214" i="15"/>
  <c r="G214" i="15"/>
  <c r="F111" i="15"/>
  <c r="F40" i="15"/>
  <c r="F204" i="15" s="1"/>
  <c r="E58" i="15"/>
  <c r="E111" i="15"/>
  <c r="E204" i="15" s="1"/>
  <c r="E205" i="15" s="1"/>
  <c r="F453" i="21"/>
  <c r="E453" i="21"/>
  <c r="D453" i="21"/>
  <c r="F452" i="21"/>
  <c r="E452" i="21"/>
  <c r="D452" i="21"/>
  <c r="F442" i="21"/>
  <c r="F441" i="21"/>
  <c r="F439" i="21"/>
  <c r="F443" i="21" s="1"/>
  <c r="F437" i="21"/>
  <c r="F436" i="21"/>
  <c r="F434" i="21"/>
  <c r="F426" i="21"/>
  <c r="F425" i="21"/>
  <c r="F424" i="21"/>
  <c r="F423" i="21"/>
  <c r="E423" i="21"/>
  <c r="F419" i="21"/>
  <c r="F422" i="21" s="1"/>
  <c r="F416" i="21"/>
  <c r="F418" i="21" s="1"/>
  <c r="F415" i="21"/>
  <c r="F409" i="21"/>
  <c r="F407" i="21"/>
  <c r="F406" i="21"/>
  <c r="F405" i="21"/>
  <c r="F401" i="21"/>
  <c r="F400" i="21"/>
  <c r="F399" i="21"/>
  <c r="F398" i="21"/>
  <c r="F397" i="21"/>
  <c r="F394" i="21"/>
  <c r="F393" i="21"/>
  <c r="F392" i="21"/>
  <c r="F391" i="21"/>
  <c r="F388" i="21"/>
  <c r="F385" i="21"/>
  <c r="F382" i="21"/>
  <c r="F380" i="21"/>
  <c r="F377" i="21"/>
  <c r="F376" i="21"/>
  <c r="F375" i="21"/>
  <c r="F374" i="21"/>
  <c r="F373" i="21"/>
  <c r="F372" i="21"/>
  <c r="F367" i="21"/>
  <c r="F366" i="21"/>
  <c r="F365" i="21"/>
  <c r="F364" i="21"/>
  <c r="F363" i="21"/>
  <c r="F362" i="21"/>
  <c r="F361" i="21"/>
  <c r="F358" i="21"/>
  <c r="F356" i="21"/>
  <c r="F354" i="21"/>
  <c r="F350" i="21"/>
  <c r="F349" i="21"/>
  <c r="F348" i="21"/>
  <c r="E340" i="21"/>
  <c r="J337" i="21"/>
  <c r="G337" i="21"/>
  <c r="H337" i="21"/>
  <c r="F337" i="21"/>
  <c r="E336" i="21"/>
  <c r="J334" i="21"/>
  <c r="I334" i="21"/>
  <c r="G334" i="21"/>
  <c r="F334" i="21"/>
  <c r="H333" i="21"/>
  <c r="E333" i="21"/>
  <c r="J331" i="21"/>
  <c r="I331" i="21"/>
  <c r="F331" i="21"/>
  <c r="H330" i="21"/>
  <c r="E330" i="21"/>
  <c r="J328" i="21"/>
  <c r="G328" i="21"/>
  <c r="F328" i="21"/>
  <c r="I327" i="21"/>
  <c r="H327" i="21" s="1"/>
  <c r="E327" i="21"/>
  <c r="H326" i="21"/>
  <c r="E326" i="21"/>
  <c r="H325" i="21"/>
  <c r="E325" i="21"/>
  <c r="H324" i="21"/>
  <c r="E324" i="21"/>
  <c r="J322" i="21"/>
  <c r="I322" i="21"/>
  <c r="G322" i="21"/>
  <c r="F322" i="21"/>
  <c r="H321" i="21"/>
  <c r="E321" i="21"/>
  <c r="H320" i="21"/>
  <c r="E320" i="21"/>
  <c r="H319" i="21"/>
  <c r="E319" i="21"/>
  <c r="H318" i="21"/>
  <c r="E318" i="21"/>
  <c r="H317" i="21"/>
  <c r="E317" i="21"/>
  <c r="H316" i="21"/>
  <c r="E316" i="21"/>
  <c r="H315" i="21"/>
  <c r="E315" i="21"/>
  <c r="H314" i="21"/>
  <c r="E314" i="21"/>
  <c r="G312" i="21"/>
  <c r="F312" i="21"/>
  <c r="I311" i="21"/>
  <c r="H311" i="21" s="1"/>
  <c r="E311" i="21"/>
  <c r="I310" i="21"/>
  <c r="H310" i="21" s="1"/>
  <c r="E310" i="21"/>
  <c r="J309" i="21"/>
  <c r="J312" i="21" s="1"/>
  <c r="G309" i="21"/>
  <c r="E309" i="21" s="1"/>
  <c r="J307" i="21"/>
  <c r="G307" i="21"/>
  <c r="H306" i="21"/>
  <c r="E306" i="21"/>
  <c r="I305" i="21"/>
  <c r="I307" i="21" s="1"/>
  <c r="F305" i="21"/>
  <c r="F307" i="21" s="1"/>
  <c r="I303" i="21"/>
  <c r="F303" i="21"/>
  <c r="J302" i="21"/>
  <c r="H302" i="21" s="1"/>
  <c r="G302" i="21"/>
  <c r="E302" i="21" s="1"/>
  <c r="H301" i="21"/>
  <c r="E301" i="21"/>
  <c r="H300" i="21"/>
  <c r="E300" i="21"/>
  <c r="J298" i="21"/>
  <c r="I298" i="21"/>
  <c r="G298" i="21"/>
  <c r="F298" i="21"/>
  <c r="H297" i="21"/>
  <c r="E297" i="21"/>
  <c r="H296" i="21"/>
  <c r="E296" i="21"/>
  <c r="H295" i="21"/>
  <c r="E295" i="21"/>
  <c r="H294" i="21"/>
  <c r="E294" i="21"/>
  <c r="H293" i="21"/>
  <c r="E293" i="21"/>
  <c r="H292" i="21"/>
  <c r="E292" i="21"/>
  <c r="J290" i="21"/>
  <c r="I290" i="21"/>
  <c r="G290" i="21"/>
  <c r="H289" i="21"/>
  <c r="E289" i="21"/>
  <c r="H288" i="21"/>
  <c r="F288" i="21"/>
  <c r="F290" i="21" s="1"/>
  <c r="H287" i="21"/>
  <c r="E287" i="21"/>
  <c r="H286" i="21"/>
  <c r="E286" i="21"/>
  <c r="H285" i="21"/>
  <c r="E285" i="21"/>
  <c r="H284" i="21"/>
  <c r="E284" i="21"/>
  <c r="H283" i="21"/>
  <c r="E283" i="21"/>
  <c r="J281" i="21"/>
  <c r="G281" i="21"/>
  <c r="F281" i="21"/>
  <c r="I280" i="21"/>
  <c r="H280" i="21" s="1"/>
  <c r="E280" i="21"/>
  <c r="H279" i="21"/>
  <c r="E279" i="21"/>
  <c r="I278" i="21"/>
  <c r="H278" i="21" s="1"/>
  <c r="E278" i="21"/>
  <c r="J276" i="21"/>
  <c r="G276" i="21"/>
  <c r="H275" i="21"/>
  <c r="E275" i="21"/>
  <c r="H274" i="21"/>
  <c r="E274" i="21"/>
  <c r="H273" i="21"/>
  <c r="F273" i="21"/>
  <c r="F276" i="21" s="1"/>
  <c r="H272" i="21"/>
  <c r="E272" i="21"/>
  <c r="J270" i="21"/>
  <c r="I270" i="21"/>
  <c r="G270" i="21"/>
  <c r="F270" i="21"/>
  <c r="H269" i="21"/>
  <c r="E269" i="21"/>
  <c r="I267" i="21"/>
  <c r="F267" i="21"/>
  <c r="H266" i="21"/>
  <c r="E266" i="21"/>
  <c r="H265" i="21"/>
  <c r="E265" i="21"/>
  <c r="J264" i="21"/>
  <c r="H264" i="21" s="1"/>
  <c r="G264" i="21"/>
  <c r="E264" i="21" s="1"/>
  <c r="J263" i="21"/>
  <c r="H263" i="21" s="1"/>
  <c r="G263" i="21"/>
  <c r="E263" i="21" s="1"/>
  <c r="H262" i="21"/>
  <c r="E262" i="21"/>
  <c r="J261" i="21"/>
  <c r="H261" i="21" s="1"/>
  <c r="G261" i="21"/>
  <c r="E261" i="21" s="1"/>
  <c r="J260" i="21"/>
  <c r="H260" i="21" s="1"/>
  <c r="G260" i="21"/>
  <c r="E260" i="21" s="1"/>
  <c r="J259" i="21"/>
  <c r="H259" i="21" s="1"/>
  <c r="G259" i="21"/>
  <c r="E259" i="21" s="1"/>
  <c r="H258" i="21"/>
  <c r="E258" i="21"/>
  <c r="H257" i="21"/>
  <c r="E257" i="21"/>
  <c r="J256" i="21"/>
  <c r="H256" i="21" s="1"/>
  <c r="G256" i="21"/>
  <c r="H255" i="21"/>
  <c r="E255" i="21"/>
  <c r="H254" i="21"/>
  <c r="E254" i="21"/>
  <c r="J253" i="21"/>
  <c r="H253" i="21" s="1"/>
  <c r="G253" i="21"/>
  <c r="E253" i="21" s="1"/>
  <c r="H252" i="21"/>
  <c r="E252" i="21"/>
  <c r="H251" i="21"/>
  <c r="E251" i="21"/>
  <c r="J250" i="21"/>
  <c r="H250" i="21" s="1"/>
  <c r="G250" i="21"/>
  <c r="E250" i="21" s="1"/>
  <c r="H249" i="21"/>
  <c r="E249" i="21"/>
  <c r="H248" i="21"/>
  <c r="E248" i="21"/>
  <c r="H247" i="21"/>
  <c r="E247" i="21"/>
  <c r="H246" i="21"/>
  <c r="E246" i="21"/>
  <c r="J245" i="21"/>
  <c r="H245" i="21" s="1"/>
  <c r="G245" i="21"/>
  <c r="E245" i="21" s="1"/>
  <c r="H244" i="21"/>
  <c r="E244" i="21"/>
  <c r="H243" i="21"/>
  <c r="E243" i="21"/>
  <c r="H242" i="21"/>
  <c r="E242" i="21"/>
  <c r="H241" i="21"/>
  <c r="E241" i="21"/>
  <c r="J239" i="21"/>
  <c r="I239" i="21"/>
  <c r="G239" i="21"/>
  <c r="F239" i="21"/>
  <c r="H238" i="21"/>
  <c r="E238" i="21"/>
  <c r="H237" i="21"/>
  <c r="E237" i="21"/>
  <c r="H236" i="21"/>
  <c r="E236" i="21"/>
  <c r="H235" i="21"/>
  <c r="E235" i="21"/>
  <c r="H234" i="21"/>
  <c r="E234" i="21"/>
  <c r="J232" i="21"/>
  <c r="I232" i="21"/>
  <c r="G232" i="21"/>
  <c r="F232" i="21"/>
  <c r="H231" i="21"/>
  <c r="E231" i="21"/>
  <c r="H230" i="21"/>
  <c r="E230" i="21"/>
  <c r="H229" i="21"/>
  <c r="E229" i="21"/>
  <c r="H228" i="21"/>
  <c r="E228" i="21"/>
  <c r="H227" i="21"/>
  <c r="E227" i="21"/>
  <c r="H226" i="21"/>
  <c r="E226" i="21"/>
  <c r="H225" i="21"/>
  <c r="E225" i="21"/>
  <c r="H224" i="21"/>
  <c r="E224" i="21"/>
  <c r="H223" i="21"/>
  <c r="E223" i="21"/>
  <c r="H222" i="21"/>
  <c r="E222" i="21"/>
  <c r="H221" i="21"/>
  <c r="E221" i="21"/>
  <c r="J219" i="21"/>
  <c r="G219" i="21"/>
  <c r="H218" i="21"/>
  <c r="E218" i="21"/>
  <c r="H217" i="21"/>
  <c r="E217" i="21"/>
  <c r="H216" i="21"/>
  <c r="E216" i="21"/>
  <c r="I215" i="21"/>
  <c r="H215" i="21" s="1"/>
  <c r="F215" i="21"/>
  <c r="F219" i="21" s="1"/>
  <c r="J213" i="21"/>
  <c r="I213" i="21"/>
  <c r="G213" i="21"/>
  <c r="F213" i="21"/>
  <c r="H212" i="21"/>
  <c r="E212" i="21"/>
  <c r="H211" i="21"/>
  <c r="E211" i="21"/>
  <c r="H210" i="21"/>
  <c r="E210" i="21"/>
  <c r="H209" i="21"/>
  <c r="E209" i="21"/>
  <c r="J207" i="21"/>
  <c r="I207" i="21"/>
  <c r="G207" i="21"/>
  <c r="F207" i="21"/>
  <c r="H206" i="21"/>
  <c r="E206" i="21"/>
  <c r="H205" i="21"/>
  <c r="E205" i="21"/>
  <c r="H204" i="21"/>
  <c r="E204" i="21"/>
  <c r="H203" i="21"/>
  <c r="E203" i="21"/>
  <c r="H202" i="21"/>
  <c r="E202" i="21"/>
  <c r="H201" i="21"/>
  <c r="E201" i="21"/>
  <c r="H200" i="21"/>
  <c r="E200" i="21"/>
  <c r="J198" i="21"/>
  <c r="I198" i="21"/>
  <c r="G198" i="21"/>
  <c r="F198" i="21"/>
  <c r="H197" i="21"/>
  <c r="H196" i="21"/>
  <c r="H195" i="21"/>
  <c r="H194" i="21"/>
  <c r="H193" i="21"/>
  <c r="H192" i="21"/>
  <c r="E192" i="21"/>
  <c r="H191" i="21"/>
  <c r="E191" i="21"/>
  <c r="H190" i="21"/>
  <c r="H187" i="21"/>
  <c r="E187" i="21"/>
  <c r="H186" i="21"/>
  <c r="E186" i="21"/>
  <c r="J185" i="21"/>
  <c r="J188" i="21" s="1"/>
  <c r="I185" i="21"/>
  <c r="G185" i="21"/>
  <c r="G188" i="21" s="1"/>
  <c r="F185" i="21"/>
  <c r="F188" i="21" s="1"/>
  <c r="H184" i="21"/>
  <c r="E184" i="21"/>
  <c r="H183" i="21"/>
  <c r="E183" i="21"/>
  <c r="H182" i="21"/>
  <c r="E182" i="21"/>
  <c r="H181" i="21"/>
  <c r="E181" i="21"/>
  <c r="I179" i="21"/>
  <c r="J178" i="21"/>
  <c r="H178" i="21" s="1"/>
  <c r="F178" i="21"/>
  <c r="F179" i="21" s="1"/>
  <c r="H177" i="21"/>
  <c r="E177" i="21"/>
  <c r="H176" i="21"/>
  <c r="E176" i="21"/>
  <c r="H175" i="21"/>
  <c r="E175" i="21"/>
  <c r="J174" i="21"/>
  <c r="H174" i="21" s="1"/>
  <c r="G174" i="21"/>
  <c r="G179" i="21" s="1"/>
  <c r="G172" i="21"/>
  <c r="F172" i="21"/>
  <c r="J171" i="21"/>
  <c r="E171" i="21"/>
  <c r="H170" i="21"/>
  <c r="E170" i="21"/>
  <c r="H167" i="21"/>
  <c r="F167" i="21"/>
  <c r="E167" i="21" s="1"/>
  <c r="I166" i="21"/>
  <c r="H166" i="21" s="1"/>
  <c r="E166" i="21"/>
  <c r="H165" i="21"/>
  <c r="E165" i="21"/>
  <c r="H164" i="21"/>
  <c r="E164" i="21"/>
  <c r="J163" i="21"/>
  <c r="J168" i="21" s="1"/>
  <c r="G163" i="21"/>
  <c r="G168" i="21" s="1"/>
  <c r="H162" i="21"/>
  <c r="E162" i="21"/>
  <c r="I161" i="21"/>
  <c r="F161" i="21"/>
  <c r="E161" i="21" s="1"/>
  <c r="J159" i="21"/>
  <c r="G159" i="21"/>
  <c r="H158" i="21"/>
  <c r="E158" i="21"/>
  <c r="J156" i="21"/>
  <c r="I156" i="21"/>
  <c r="G156" i="21"/>
  <c r="F156" i="21"/>
  <c r="H155" i="21"/>
  <c r="E155" i="21"/>
  <c r="H154" i="21"/>
  <c r="E154" i="21"/>
  <c r="H153" i="21"/>
  <c r="E153" i="21"/>
  <c r="H152" i="21"/>
  <c r="E152" i="21"/>
  <c r="H151" i="21"/>
  <c r="E151" i="21"/>
  <c r="H150" i="21"/>
  <c r="E150" i="21"/>
  <c r="H149" i="21"/>
  <c r="E149" i="21"/>
  <c r="H148" i="21"/>
  <c r="E148" i="21"/>
  <c r="H147" i="21"/>
  <c r="E147" i="21"/>
  <c r="H146" i="21"/>
  <c r="E146" i="21"/>
  <c r="J144" i="21"/>
  <c r="I144" i="21"/>
  <c r="G144" i="21"/>
  <c r="F144" i="21"/>
  <c r="H143" i="21"/>
  <c r="E143" i="21"/>
  <c r="H142" i="21"/>
  <c r="E142" i="21"/>
  <c r="H141" i="21"/>
  <c r="E141" i="21"/>
  <c r="H140" i="21"/>
  <c r="E140" i="21"/>
  <c r="H139" i="21"/>
  <c r="E139" i="21"/>
  <c r="H138" i="21"/>
  <c r="E138" i="21"/>
  <c r="H137" i="21"/>
  <c r="E137" i="21"/>
  <c r="H136" i="21"/>
  <c r="E136" i="21"/>
  <c r="H133" i="21"/>
  <c r="E133" i="21"/>
  <c r="H130" i="21"/>
  <c r="E130" i="21"/>
  <c r="I129" i="21"/>
  <c r="I134" i="21" s="1"/>
  <c r="E129" i="21"/>
  <c r="H128" i="21"/>
  <c r="E128" i="21"/>
  <c r="H127" i="21"/>
  <c r="E127" i="21"/>
  <c r="H126" i="21"/>
  <c r="E126" i="21"/>
  <c r="H125" i="21"/>
  <c r="E125" i="21"/>
  <c r="H124" i="21"/>
  <c r="E124" i="21"/>
  <c r="H123" i="21"/>
  <c r="E123" i="21"/>
  <c r="H122" i="21"/>
  <c r="E122" i="21"/>
  <c r="H121" i="21"/>
  <c r="E121" i="21"/>
  <c r="J119" i="21"/>
  <c r="I119" i="21"/>
  <c r="G119" i="21"/>
  <c r="F119" i="21"/>
  <c r="H118" i="21"/>
  <c r="E118" i="21"/>
  <c r="H117" i="21"/>
  <c r="E117" i="21"/>
  <c r="H116" i="21"/>
  <c r="E116" i="21"/>
  <c r="H115" i="21"/>
  <c r="E115" i="21"/>
  <c r="H114" i="21"/>
  <c r="E114" i="21"/>
  <c r="H113" i="21"/>
  <c r="E113" i="21"/>
  <c r="H112" i="21"/>
  <c r="E112" i="21"/>
  <c r="J110" i="21"/>
  <c r="I110" i="21"/>
  <c r="G110" i="21"/>
  <c r="F110" i="21"/>
  <c r="H109" i="21"/>
  <c r="E109" i="21"/>
  <c r="H108" i="21"/>
  <c r="E108" i="21"/>
  <c r="H107" i="21"/>
  <c r="E107" i="21"/>
  <c r="H106" i="21"/>
  <c r="E106" i="21"/>
  <c r="H105" i="21"/>
  <c r="E105" i="21"/>
  <c r="H104" i="21"/>
  <c r="E104" i="21"/>
  <c r="H103" i="21"/>
  <c r="E103" i="21"/>
  <c r="H102" i="21"/>
  <c r="E102" i="21"/>
  <c r="J100" i="21"/>
  <c r="I100" i="21"/>
  <c r="G100" i="21"/>
  <c r="F100" i="21"/>
  <c r="H99" i="21"/>
  <c r="E99" i="21"/>
  <c r="H98" i="21"/>
  <c r="E98" i="21"/>
  <c r="H97" i="21"/>
  <c r="E97" i="21"/>
  <c r="H96" i="21"/>
  <c r="E96" i="21"/>
  <c r="H95" i="21"/>
  <c r="E95" i="21"/>
  <c r="H94" i="21"/>
  <c r="E94" i="21"/>
  <c r="J92" i="21"/>
  <c r="G92" i="21"/>
  <c r="F92" i="21"/>
  <c r="I91" i="21"/>
  <c r="H91" i="21" s="1"/>
  <c r="E91" i="21"/>
  <c r="H90" i="21"/>
  <c r="E90" i="21"/>
  <c r="H89" i="21"/>
  <c r="E89" i="21"/>
  <c r="H88" i="21"/>
  <c r="E88" i="21"/>
  <c r="I87" i="21"/>
  <c r="H87" i="21" s="1"/>
  <c r="E87" i="21"/>
  <c r="H86" i="21"/>
  <c r="E86" i="21"/>
  <c r="H85" i="21"/>
  <c r="E85" i="21"/>
  <c r="H84" i="21"/>
  <c r="E84" i="21"/>
  <c r="J82" i="21"/>
  <c r="G82" i="21"/>
  <c r="I82" i="21"/>
  <c r="F81" i="21"/>
  <c r="F82" i="21" s="1"/>
  <c r="I79" i="21"/>
  <c r="F79" i="21"/>
  <c r="J78" i="21"/>
  <c r="H78" i="21" s="1"/>
  <c r="E78" i="21"/>
  <c r="J77" i="21"/>
  <c r="H77" i="21" s="1"/>
  <c r="E77" i="21"/>
  <c r="H76" i="21"/>
  <c r="E76" i="21"/>
  <c r="H75" i="21"/>
  <c r="E75" i="21"/>
  <c r="J74" i="21"/>
  <c r="H74" i="21" s="1"/>
  <c r="G74" i="21"/>
  <c r="E74" i="21" s="1"/>
  <c r="H73" i="21"/>
  <c r="E73" i="21"/>
  <c r="H72" i="21"/>
  <c r="E72" i="21"/>
  <c r="H71" i="21"/>
  <c r="E71" i="21"/>
  <c r="J69" i="21"/>
  <c r="I69" i="21"/>
  <c r="G69" i="21"/>
  <c r="F69" i="21"/>
  <c r="H68" i="21"/>
  <c r="E68" i="21"/>
  <c r="H67" i="21"/>
  <c r="E67" i="21"/>
  <c r="H66" i="21"/>
  <c r="E66" i="21"/>
  <c r="H65" i="21"/>
  <c r="E65" i="21"/>
  <c r="H64" i="21"/>
  <c r="E64" i="21"/>
  <c r="H63" i="21"/>
  <c r="E63" i="21"/>
  <c r="H62" i="21"/>
  <c r="E62" i="21"/>
  <c r="H61" i="21"/>
  <c r="E61" i="21"/>
  <c r="H60" i="21"/>
  <c r="E60" i="21"/>
  <c r="I58" i="21"/>
  <c r="F58" i="21"/>
  <c r="J57" i="21"/>
  <c r="H57" i="21" s="1"/>
  <c r="G57" i="21"/>
  <c r="E57" i="21" s="1"/>
  <c r="H56" i="21"/>
  <c r="E56" i="21"/>
  <c r="J54" i="21"/>
  <c r="I54" i="21"/>
  <c r="G54" i="21"/>
  <c r="F54" i="21"/>
  <c r="H53" i="21"/>
  <c r="E53" i="21"/>
  <c r="H52" i="21"/>
  <c r="E52" i="21"/>
  <c r="H51" i="21"/>
  <c r="E51" i="21"/>
  <c r="H50" i="21"/>
  <c r="E50" i="21"/>
  <c r="H49" i="21"/>
  <c r="E49" i="21"/>
  <c r="H48" i="21"/>
  <c r="E48" i="21"/>
  <c r="J46" i="21"/>
  <c r="G46" i="21"/>
  <c r="F46" i="21"/>
  <c r="I45" i="21"/>
  <c r="H45" i="21" s="1"/>
  <c r="E45" i="21"/>
  <c r="I44" i="21"/>
  <c r="H44" i="21" s="1"/>
  <c r="E44" i="21"/>
  <c r="J42" i="21"/>
  <c r="I42" i="21"/>
  <c r="G42" i="21"/>
  <c r="F42" i="21"/>
  <c r="H41" i="21"/>
  <c r="E41" i="21"/>
  <c r="J39" i="21"/>
  <c r="I39" i="21"/>
  <c r="G39" i="21"/>
  <c r="F39" i="21"/>
  <c r="H38" i="21"/>
  <c r="E38" i="21"/>
  <c r="H37" i="21"/>
  <c r="E37" i="21"/>
  <c r="H36" i="21"/>
  <c r="E36" i="21"/>
  <c r="J34" i="21"/>
  <c r="G34" i="21"/>
  <c r="F34" i="21"/>
  <c r="I33" i="21"/>
  <c r="H33" i="21" s="1"/>
  <c r="E33" i="21"/>
  <c r="H32" i="21"/>
  <c r="E32" i="21"/>
  <c r="H31" i="21"/>
  <c r="E31" i="21"/>
  <c r="H30" i="21"/>
  <c r="E30" i="21"/>
  <c r="I29" i="21"/>
  <c r="I34" i="21" s="1"/>
  <c r="E29" i="21"/>
  <c r="H28" i="21"/>
  <c r="E28" i="21"/>
  <c r="H27" i="21"/>
  <c r="E27" i="21"/>
  <c r="H26" i="21"/>
  <c r="E26" i="21"/>
  <c r="H25" i="21"/>
  <c r="E25" i="21"/>
  <c r="H24" i="21"/>
  <c r="E24" i="21"/>
  <c r="H23" i="21"/>
  <c r="E23" i="21"/>
  <c r="H22" i="21"/>
  <c r="E22" i="21"/>
  <c r="H21" i="21"/>
  <c r="E21" i="21"/>
  <c r="J19" i="21"/>
  <c r="I19" i="21"/>
  <c r="G19" i="21"/>
  <c r="H18" i="21"/>
  <c r="E18" i="21"/>
  <c r="H17" i="21"/>
  <c r="E17" i="21"/>
  <c r="H16" i="21"/>
  <c r="F16" i="21"/>
  <c r="F19" i="21" s="1"/>
  <c r="H15" i="21"/>
  <c r="E15" i="21"/>
  <c r="H14" i="21"/>
  <c r="E14" i="21"/>
  <c r="H13" i="21"/>
  <c r="E13" i="21"/>
  <c r="H42" i="21" l="1"/>
  <c r="E331" i="21"/>
  <c r="E334" i="21"/>
  <c r="H334" i="21"/>
  <c r="H331" i="21"/>
  <c r="E134" i="21"/>
  <c r="E270" i="21"/>
  <c r="H270" i="21"/>
  <c r="E159" i="21"/>
  <c r="H159" i="21"/>
  <c r="E42" i="21"/>
  <c r="E337" i="21"/>
  <c r="E174" i="21"/>
  <c r="G58" i="21"/>
  <c r="I168" i="21"/>
  <c r="I281" i="21"/>
  <c r="E288" i="21"/>
  <c r="E213" i="21"/>
  <c r="I276" i="21"/>
  <c r="H213" i="21"/>
  <c r="H219" i="21"/>
  <c r="H239" i="21"/>
  <c r="I172" i="21"/>
  <c r="H185" i="21"/>
  <c r="E92" i="21"/>
  <c r="H305" i="21"/>
  <c r="H29" i="21"/>
  <c r="H119" i="21"/>
  <c r="F159" i="21"/>
  <c r="J58" i="21"/>
  <c r="I159" i="21"/>
  <c r="F438" i="21"/>
  <c r="H69" i="21"/>
  <c r="H198" i="21"/>
  <c r="E281" i="21"/>
  <c r="J303" i="21"/>
  <c r="H129" i="21"/>
  <c r="E312" i="21"/>
  <c r="E119" i="21"/>
  <c r="E156" i="21"/>
  <c r="H161" i="21"/>
  <c r="H58" i="21"/>
  <c r="I328" i="21"/>
  <c r="H46" i="21"/>
  <c r="H322" i="21"/>
  <c r="E46" i="21"/>
  <c r="E172" i="21"/>
  <c r="G267" i="21"/>
  <c r="E328" i="21"/>
  <c r="F429" i="21"/>
  <c r="H328" i="21"/>
  <c r="H39" i="21"/>
  <c r="E54" i="21"/>
  <c r="E144" i="21"/>
  <c r="H232" i="21"/>
  <c r="E305" i="21"/>
  <c r="H19" i="21"/>
  <c r="H54" i="21"/>
  <c r="H144" i="21"/>
  <c r="H171" i="21"/>
  <c r="E207" i="21"/>
  <c r="E239" i="21"/>
  <c r="H276" i="21"/>
  <c r="E303" i="21"/>
  <c r="H303" i="21"/>
  <c r="E34" i="21"/>
  <c r="E58" i="21"/>
  <c r="G79" i="21"/>
  <c r="E178" i="21"/>
  <c r="H207" i="21"/>
  <c r="E273" i="21"/>
  <c r="H156" i="21"/>
  <c r="I188" i="21"/>
  <c r="E16" i="21"/>
  <c r="J79" i="21"/>
  <c r="E163" i="21"/>
  <c r="I312" i="21"/>
  <c r="F403" i="21"/>
  <c r="F168" i="21"/>
  <c r="E322" i="21"/>
  <c r="E69" i="21"/>
  <c r="H92" i="21"/>
  <c r="H81" i="21"/>
  <c r="I92" i="21"/>
  <c r="E110" i="21"/>
  <c r="H163" i="21"/>
  <c r="H110" i="21"/>
  <c r="H179" i="21"/>
  <c r="I219" i="21"/>
  <c r="E232" i="21"/>
  <c r="H281" i="21"/>
  <c r="E298" i="21"/>
  <c r="F390" i="21"/>
  <c r="F410" i="21"/>
  <c r="E100" i="21"/>
  <c r="H290" i="21"/>
  <c r="H298" i="21"/>
  <c r="H309" i="21"/>
  <c r="F395" i="21"/>
  <c r="E39" i="21"/>
  <c r="H100" i="21"/>
  <c r="H267" i="21"/>
  <c r="H79" i="21"/>
  <c r="E79" i="21"/>
  <c r="E185" i="21"/>
  <c r="E215" i="21"/>
  <c r="E256" i="21"/>
  <c r="J179" i="21"/>
  <c r="J267" i="21"/>
  <c r="E81" i="21"/>
  <c r="I337" i="21"/>
  <c r="J172" i="21"/>
  <c r="I46" i="21"/>
  <c r="G303" i="21"/>
  <c r="H188" i="21" l="1"/>
  <c r="E82" i="21"/>
  <c r="E168" i="21"/>
  <c r="E307" i="21"/>
  <c r="E267" i="21"/>
  <c r="H307" i="21"/>
  <c r="E179" i="21"/>
  <c r="E219" i="21"/>
  <c r="E188" i="21"/>
  <c r="H82" i="21"/>
  <c r="H172" i="21"/>
  <c r="G338" i="21"/>
  <c r="H134" i="21"/>
  <c r="F338" i="21"/>
  <c r="E276" i="21"/>
  <c r="H312" i="21"/>
  <c r="H34" i="21"/>
  <c r="E19" i="21"/>
  <c r="E290" i="21"/>
  <c r="J338" i="21"/>
  <c r="I338" i="21"/>
  <c r="H168" i="21"/>
  <c r="F444" i="21"/>
  <c r="H338" i="21" l="1"/>
  <c r="E338" i="21"/>
  <c r="I36" i="9"/>
  <c r="I35" i="9"/>
  <c r="E339" i="21" l="1"/>
  <c r="I65" i="9" l="1"/>
  <c r="L65" i="9"/>
  <c r="M65" i="9"/>
  <c r="P65" i="9"/>
  <c r="Q65" i="9"/>
  <c r="R65" i="9"/>
  <c r="S65" i="9"/>
  <c r="T65" i="9"/>
  <c r="U65" i="9"/>
  <c r="F65" i="9"/>
  <c r="K65" i="9" l="1"/>
  <c r="J65" i="9" l="1"/>
  <c r="N65" i="9"/>
  <c r="O65" i="9"/>
  <c r="D35" i="17" l="1"/>
  <c r="D33" i="17" l="1"/>
  <c r="D34" i="17" l="1"/>
  <c r="E33" i="17" l="1"/>
  <c r="E65" i="9" l="1"/>
  <c r="H65" i="9"/>
  <c r="D65" i="9" l="1"/>
  <c r="G65" i="9"/>
</calcChain>
</file>

<file path=xl/sharedStrings.xml><?xml version="1.0" encoding="utf-8"?>
<sst xmlns="http://schemas.openxmlformats.org/spreadsheetml/2006/main" count="1375" uniqueCount="498">
  <si>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</si>
  <si>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</si>
  <si>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</si>
  <si>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</si>
  <si>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</si>
  <si>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</si>
  <si>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</si>
  <si>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</si>
  <si>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</si>
  <si>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</si>
  <si>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</si>
  <si>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</si>
  <si>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</si>
  <si>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</si>
  <si>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</si>
  <si>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</si>
  <si>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</si>
  <si>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</si>
  <si>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</si>
  <si>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</si>
  <si>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</si>
  <si>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</si>
  <si>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</si>
  <si>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</si>
  <si>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</si>
  <si>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</si>
  <si>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</si>
  <si>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</si>
  <si>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</si>
  <si>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</si>
  <si>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</si>
  <si>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</si>
  <si>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</si>
  <si>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</si>
  <si>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</si>
  <si>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</si>
  <si>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</si>
  <si>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</si>
  <si>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</si>
  <si>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</si>
  <si>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</si>
  <si>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</si>
  <si>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</si>
  <si>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</si>
  <si>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</si>
  <si>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</si>
  <si>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</si>
  <si>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</si>
  <si>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</si>
  <si>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</si>
  <si>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</si>
  <si>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</si>
  <si>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</si>
  <si>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</si>
  <si>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</si>
  <si>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</si>
  <si>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</si>
  <si>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</si>
  <si>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</si>
  <si>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</si>
  <si>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</si>
  <si>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</si>
  <si>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</si>
  <si>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</si>
  <si>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</si>
  <si>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</si>
  <si>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</si>
  <si>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</si>
  <si>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</si>
  <si>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</si>
  <si>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</si>
  <si>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</si>
  <si>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</si>
  <si>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</si>
  <si>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</si>
  <si>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</si>
  <si>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</si>
  <si>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</si>
  <si>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</si>
  <si>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</si>
  <si>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</si>
  <si>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</si>
  <si>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</si>
  <si>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</si>
  <si>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</si>
  <si>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</si>
  <si>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</si>
  <si>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</si>
  <si>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</si>
  <si>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</si>
  <si>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</si>
  <si>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</si>
  <si>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</si>
  <si>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</si>
  <si>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</si>
  <si>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</si>
  <si>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</si>
  <si>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</si>
  <si>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</si>
  <si>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</si>
  <si>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</si>
  <si>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</si>
  <si>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</si>
  <si>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</si>
  <si>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</si>
  <si>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</si>
  <si>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</si>
  <si>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</si>
  <si>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</si>
  <si>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</si>
  <si>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</si>
  <si>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</si>
  <si>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</si>
  <si>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</si>
  <si>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</si>
  <si>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</si>
  <si>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</si>
  <si>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</si>
  <si>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</si>
  <si>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</si>
  <si>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</si>
  <si>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</si>
  <si>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</si>
  <si>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</si>
  <si>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</si>
  <si>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</si>
  <si>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</si>
  <si>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</si>
  <si>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</si>
  <si>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</si>
  <si>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</si>
  <si>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</si>
  <si>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</si>
  <si>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</si>
  <si>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</si>
  <si>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</si>
  <si>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</si>
  <si>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</si>
  <si>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</si>
  <si>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</si>
  <si>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</si>
  <si>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</si>
  <si>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</si>
  <si>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</si>
  <si>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</si>
  <si>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</si>
  <si>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</si>
  <si>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</si>
  <si>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</si>
  <si>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</si>
  <si>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</si>
  <si>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</si>
  <si>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</si>
  <si>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</si>
  <si>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</si>
  <si>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</si>
  <si>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</si>
  <si>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</si>
  <si>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</si>
  <si>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</si>
  <si>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</si>
  <si>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</si>
  <si>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</si>
  <si>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</si>
  <si>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</si>
  <si>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</si>
  <si>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</si>
  <si>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</si>
  <si>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</si>
  <si>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</si>
  <si>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</si>
  <si>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</si>
  <si>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</si>
  <si>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</si>
  <si>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</si>
  <si>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</si>
  <si>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</si>
  <si>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</si>
  <si>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</si>
  <si>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</si>
  <si>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</si>
  <si>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</si>
  <si>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</si>
  <si>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</si>
  <si>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</si>
  <si>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</si>
  <si>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</si>
  <si>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</si>
  <si>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</si>
  <si>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</si>
  <si>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</si>
  <si>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</si>
  <si>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</si>
  <si>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</si>
  <si>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</si>
  <si>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</si>
  <si>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</si>
  <si>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</si>
  <si>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</si>
  <si>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</si>
  <si>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</si>
  <si>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</si>
  <si>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</si>
  <si>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</si>
  <si>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</si>
  <si>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</si>
  <si>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</si>
  <si>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</si>
  <si>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</si>
  <si>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</si>
  <si>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</si>
  <si>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</si>
  <si>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</si>
  <si>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</si>
  <si>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</si>
  <si>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</si>
  <si>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</si>
  <si>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</si>
  <si>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 xml:space="preserve">Объемы медицинской помощи, оказываемые застрахованным лицам за пределами Томской области: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</si>
  <si>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</si>
  <si>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</si>
  <si>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</si>
  <si>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ОГАУЗ "Детская больница № 1"</t>
  </si>
  <si>
    <t>ВСЕГО</t>
  </si>
  <si>
    <t>ОГАУЗ "Родильный дом им. Н.А. Семашко"</t>
  </si>
  <si>
    <t xml:space="preserve">Код </t>
  </si>
  <si>
    <t>Наименование медицинской организации</t>
  </si>
  <si>
    <t>Кол-во случаев тромболизиса</t>
  </si>
  <si>
    <t>ОГБУЗ "Зырянская районная больница"</t>
  </si>
  <si>
    <t>ОГБУЗ "Молчановская районная больница"</t>
  </si>
  <si>
    <t>ОГАУЗ "ССМП"</t>
  </si>
  <si>
    <t>ФГБУ ФНКЦ МРИК ФМБА РОССИИ</t>
  </si>
  <si>
    <t>Количество услуг                          (для МО-исполнителя)</t>
  </si>
  <si>
    <t>Наименование профиля медицинской помощи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</si>
  <si>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</si>
  <si>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</si>
  <si>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</si>
  <si>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</si>
  <si>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</si>
  <si>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</si>
  <si>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</si>
  <si>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</si>
  <si>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</si>
  <si>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</si>
  <si>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</si>
  <si>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</si>
  <si>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</si>
  <si>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</si>
  <si>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</si>
  <si>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</si>
  <si>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</si>
  <si>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</si>
  <si>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</si>
  <si>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</si>
  <si>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</si>
  <si>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</si>
  <si>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</si>
  <si>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</si>
  <si>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</si>
  <si>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</si>
  <si>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</si>
  <si>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</si>
  <si>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</si>
  <si>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</si>
  <si>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</si>
  <si>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</si>
  <si>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</si>
  <si>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</si>
  <si>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</si>
  <si>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</si>
  <si>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</si>
  <si>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</si>
  <si>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</si>
  <si>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</si>
  <si>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</si>
  <si>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</si>
  <si>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</si>
  <si>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</si>
  <si>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</si>
  <si>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</si>
  <si>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</si>
  <si>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</si>
  <si>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</si>
  <si>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</si>
  <si>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</si>
  <si>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</si>
  <si>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</si>
  <si>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</si>
  <si>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</si>
  <si>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</si>
  <si>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</si>
  <si>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</si>
  <si>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</si>
  <si>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</si>
  <si>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</si>
  <si>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</si>
  <si>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</si>
  <si>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</si>
  <si>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</si>
  <si>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</si>
  <si>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</si>
  <si>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</si>
  <si>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</si>
  <si>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</si>
  <si>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</si>
  <si>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</si>
  <si>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</si>
  <si>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</si>
  <si>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</si>
  <si>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</si>
  <si>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</si>
  <si>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</si>
  <si>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</si>
  <si>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</si>
  <si>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</si>
  <si>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</si>
  <si>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</si>
  <si>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</si>
  <si>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</si>
  <si>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</si>
  <si>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</si>
  <si>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</si>
  <si>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</si>
  <si>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</si>
  <si>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</si>
  <si>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</si>
  <si>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</si>
  <si>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</si>
  <si>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</si>
  <si>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</si>
  <si>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</si>
  <si>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</si>
  <si>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</si>
  <si>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</si>
  <si>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</si>
  <si>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</si>
  <si>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</si>
  <si>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</si>
  <si>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</si>
  <si>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</si>
  <si>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</si>
  <si>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</si>
  <si>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</si>
  <si>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</si>
  <si>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</si>
  <si>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</si>
  <si>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</si>
  <si>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</si>
  <si>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</si>
  <si>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</si>
  <si>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</si>
  <si>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</si>
  <si>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</si>
  <si>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</si>
  <si>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</si>
  <si>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</si>
  <si>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</si>
  <si>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</si>
  <si>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</si>
  <si>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</si>
  <si>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</si>
  <si>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</si>
  <si>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</si>
  <si>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</si>
  <si>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</si>
  <si>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</si>
  <si>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</si>
  <si>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</si>
  <si>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</si>
  <si>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</si>
  <si>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</si>
  <si>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</si>
  <si>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</si>
  <si>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</si>
  <si>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</si>
  <si>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</si>
  <si>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</si>
  <si>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</si>
  <si>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</si>
  <si>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</si>
  <si>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</si>
  <si>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</si>
  <si>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</si>
  <si>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</si>
  <si>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</si>
  <si>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</si>
  <si>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</si>
  <si>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</si>
  <si>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</si>
  <si>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</si>
  <si>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</si>
  <si>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</si>
  <si>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</si>
  <si>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</si>
  <si>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</si>
  <si>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</si>
  <si>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</si>
  <si>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</si>
  <si>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</si>
  <si>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</si>
  <si>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</si>
  <si>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</si>
  <si>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</si>
  <si>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</si>
  <si>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</si>
  <si>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</si>
  <si>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</si>
  <si>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</si>
  <si>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</si>
  <si>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</si>
  <si>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</si>
  <si>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</si>
  <si>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</si>
  <si>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</si>
  <si>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</si>
  <si>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</si>
  <si>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</si>
  <si>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</si>
  <si>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</si>
  <si>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</si>
  <si>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</si>
  <si>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</si>
  <si>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</si>
  <si>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</si>
  <si>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</si>
  <si>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</si>
  <si>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</si>
  <si>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</si>
  <si>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</si>
  <si>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</si>
  <si>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</si>
  <si>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</si>
  <si>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</si>
  <si>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</si>
  <si>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</si>
  <si>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</si>
  <si>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</si>
  <si>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</si>
  <si>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</si>
  <si>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</si>
  <si>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</si>
  <si>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</si>
  <si>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</si>
  <si>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</si>
  <si>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</si>
  <si>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</si>
  <si>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</si>
  <si>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</si>
  <si>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Объемы предоставления скорой медицинской помощи , оказываемой вне медицинской организации, на 2025 год, установленные областной Программой на 2025 год</t>
  </si>
  <si>
    <t>ОФЭКТ</t>
  </si>
  <si>
    <t>ПЭТ - КТ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</si>
  <si>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</si>
  <si>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</si>
  <si>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</si>
  <si>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</si>
  <si>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</si>
  <si>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</si>
  <si>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</si>
  <si>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</si>
  <si>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</si>
  <si>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</si>
  <si>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</si>
  <si>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Количество вызовов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</si>
  <si>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</si>
  <si>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</si>
  <si>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</si>
  <si>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</si>
  <si>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</si>
  <si>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</si>
  <si>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</si>
  <si>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</si>
  <si>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ООО "Гранд Ретина"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</si>
  <si>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</si>
  <si>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</si>
  <si>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</si>
  <si>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</si>
  <si>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</si>
  <si>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Гемодиализ интермитирующий низкопоточный (А18.05.002.002)</t>
  </si>
  <si>
    <t xml:space="preserve">          к  Решению № 7</t>
  </si>
  <si>
    <t>медицинская реабилитация (дети)</t>
  </si>
  <si>
    <t>от 31.07.2025</t>
  </si>
  <si>
    <t>Приложение № 6</t>
  </si>
  <si>
    <t>Приложение № 4</t>
  </si>
  <si>
    <t>Объемы медицинской помощи, оказываемой в школах для больных с хроническими заболеваниями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</si>
  <si>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</si>
  <si>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</si>
  <si>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>Школа для больных  с сахарным диабетом</t>
  </si>
  <si>
    <t>оториноларингология (за исключением кохлеарной имплантации) (взрослые)</t>
  </si>
  <si>
    <t>ОГБУЗ "ГКБ № 1"</t>
  </si>
  <si>
    <t xml:space="preserve">ОГБУЗ  "ГКБ № 1" </t>
  </si>
  <si>
    <t>ОГБУЗ «ГКБ № 1»</t>
  </si>
  <si>
    <t xml:space="preserve">Школа для больных с артериальной гипертензией </t>
  </si>
  <si>
    <t xml:space="preserve">          к  Решению № 14</t>
  </si>
  <si>
    <t>от 31.10.2025</t>
  </si>
  <si>
    <t>Эхокардиография с физической нагрузкой</t>
  </si>
  <si>
    <t>ОГБУЗ "Городская клиническая больница № 1"</t>
  </si>
  <si>
    <t>Объемы медицинской помощи, оказываемой мобильной бригадой в выездной форме в отдаленных районах Томской области</t>
  </si>
  <si>
    <t xml:space="preserve"> Перитонеальный диализ (в выездной форме) (А18.30.001.004)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</si>
</sst>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69" formatCode="_-* #,##0\ _₽_-;\-* #,##0\ _₽_-;_-* &quot;-&quot;??\ _₽_-;_-@_-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76" formatCode="_(* #,##0_);_(* \(#,##0\);_(* &quot;-&quot;_);_(@_)"/>
    <numFmt numFmtId="177" formatCode="#,##0_ ;\-#,##0\ "/>
    <numFmt numFmtId="178" formatCode="#,###,##0"/>
    <numFmt numFmtId="179" formatCode="_-* #,##0_-;\-* #,##0_-;_-* &quot;-&quot;??_-;_-@_-"/>
    <numFmt numFmtId="180" formatCode="#,##0_ ;[Red]\-#,##0\ "/>
    <numFmt numFmtId="181" formatCode="0.0"/>
  </numFmts>
  <fonts count="1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2" fontId="54" fillId="0" borderId="0"/>
    <xf numFmtId="172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3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6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6" fillId="0" borderId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43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51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5" fontId="25" fillId="0" borderId="2" xfId="0" applyNumberFormat="1" applyFont="1" applyFill="1" applyBorder="1" applyAlignment="1">
      <alignment horizontal="center" vertical="center" wrapText="1"/>
    </xf>
    <xf numFmtId="170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8" fontId="21" fillId="0" borderId="2" xfId="0" applyNumberFormat="1" applyFont="1" applyBorder="1" applyAlignment="1">
      <alignment horizontal="center" vertical="center"/>
    </xf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7" fillId="0" borderId="0" xfId="9" applyFont="1"/>
    <xf numFmtId="0" fontId="15" fillId="0" borderId="0" xfId="9" applyFont="1"/>
    <xf numFmtId="0" fontId="27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3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8" fontId="21" fillId="0" borderId="2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0" fontId="22" fillId="0" borderId="0" xfId="0" applyFont="1" applyFill="1" applyBorder="1"/>
    <xf numFmtId="0" fontId="0" fillId="0" borderId="0" xfId="0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9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7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4" fillId="0" borderId="0" xfId="33151" applyFont="1" applyFill="1" applyAlignment="1">
      <alignment horizontal="left" wrapText="1" indent="1"/>
    </xf>
    <xf numFmtId="0" fontId="14" fillId="0" borderId="0" xfId="33151" applyFont="1" applyFill="1" applyAlignment="1">
      <alignment vertical="center" wrapText="1"/>
    </xf>
    <xf numFmtId="0" fontId="118" fillId="0" borderId="0" xfId="33151" applyFont="1" applyFill="1" applyAlignment="1">
      <alignment horizontal="center" vertical="center" wrapText="1"/>
    </xf>
    <xf numFmtId="0" fontId="20" fillId="0" borderId="0" xfId="9" applyFont="1" applyFill="1" applyBorder="1" applyAlignment="1">
      <alignment vertical="center" wrapText="1"/>
    </xf>
    <xf numFmtId="0" fontId="22" fillId="3" borderId="2" xfId="0" applyFont="1" applyFill="1" applyBorder="1" applyAlignment="1">
      <alignment horizontal="center" vertical="center"/>
    </xf>
    <xf numFmtId="0" fontId="22" fillId="0" borderId="2" xfId="0" applyFont="1" applyBorder="1"/>
    <xf numFmtId="3" fontId="22" fillId="0" borderId="2" xfId="0" applyNumberFormat="1" applyFont="1" applyBorder="1" applyAlignment="1">
      <alignment horizontal="center"/>
    </xf>
    <xf numFmtId="0" fontId="21" fillId="0" borderId="2" xfId="0" applyFont="1" applyBorder="1"/>
    <xf numFmtId="3" fontId="21" fillId="0" borderId="2" xfId="0" applyNumberFormat="1" applyFont="1" applyBorder="1" applyAlignment="1">
      <alignment horizontal="center"/>
    </xf>
    <xf numFmtId="3" fontId="21" fillId="0" borderId="2" xfId="13" applyNumberFormat="1" applyFont="1" applyFill="1" applyBorder="1" applyAlignment="1">
      <alignment horizontal="center"/>
    </xf>
    <xf numFmtId="3" fontId="19" fillId="0" borderId="2" xfId="0" applyNumberFormat="1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169" fontId="15" fillId="0" borderId="2" xfId="3" applyNumberFormat="1" applyFont="1" applyFill="1" applyBorder="1" applyAlignment="1">
      <alignment horizontal="center" vertical="center" wrapText="1"/>
    </xf>
    <xf numFmtId="179" fontId="15" fillId="0" borderId="2" xfId="5" applyNumberFormat="1" applyFont="1" applyFill="1" applyBorder="1"/>
    <xf numFmtId="0" fontId="117" fillId="0" borderId="0" xfId="3" applyFont="1" applyFill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179" fontId="15" fillId="0" borderId="0" xfId="5" applyNumberFormat="1" applyFont="1" applyFill="1" applyBorder="1"/>
    <xf numFmtId="3" fontId="22" fillId="3" borderId="2" xfId="13" applyNumberFormat="1" applyFont="1" applyFill="1" applyBorder="1" applyAlignment="1">
      <alignment horizontal="center" vertical="center" wrapText="1"/>
    </xf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8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2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9" fillId="0" borderId="0" xfId="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8" fontId="15" fillId="3" borderId="2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3" fontId="115" fillId="0" borderId="0" xfId="0" applyNumberFormat="1" applyFont="1" applyFill="1" applyBorder="1" applyAlignment="1">
      <alignment horizontal="center" vertical="center" wrapText="1"/>
    </xf>
    <xf numFmtId="3" fontId="116" fillId="0" borderId="0" xfId="0" applyNumberFormat="1" applyFont="1" applyFill="1" applyBorder="1" applyAlignment="1">
      <alignment horizontal="center" vertical="top" wrapText="1"/>
    </xf>
    <xf numFmtId="168" fontId="115" fillId="0" borderId="0" xfId="0" applyNumberFormat="1" applyFont="1" applyFill="1" applyBorder="1" applyAlignment="1">
      <alignment horizontal="center" vertical="center" wrapText="1"/>
    </xf>
    <xf numFmtId="168" fontId="116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6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29" fillId="0" borderId="31" xfId="0" applyFont="1" applyFill="1" applyBorder="1" applyAlignment="1">
      <alignment horizontal="left" vertical="center" wrapText="1" indent="5"/>
    </xf>
    <xf numFmtId="0" fontId="129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8" fontId="20" fillId="0" borderId="2" xfId="0" applyNumberFormat="1" applyFont="1" applyFill="1" applyBorder="1" applyAlignment="1">
      <alignment horizontal="center" vertical="center" wrapText="1"/>
    </xf>
    <xf numFmtId="168" fontId="13" fillId="0" borderId="2" xfId="0" applyNumberFormat="1" applyFont="1" applyFill="1" applyBorder="1" applyAlignment="1">
      <alignment horizontal="center" vertical="center" wrapText="1"/>
    </xf>
    <xf numFmtId="168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8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8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31" fillId="0" borderId="37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2" fillId="0" borderId="0" xfId="9" applyFont="1" applyFill="1" applyBorder="1"/>
    <xf numFmtId="0" fontId="26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7" fillId="0" borderId="32" xfId="9" applyFont="1" applyFill="1" applyBorder="1" applyAlignment="1"/>
    <xf numFmtId="0" fontId="15" fillId="0" borderId="35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0" fontId="123" fillId="0" borderId="0" xfId="3" applyFont="1" applyFill="1" applyAlignment="1">
      <alignment horizontal="center" wrapText="1"/>
    </xf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32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5" fillId="0" borderId="2" xfId="0" applyNumberFormat="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center" wrapText="1" indent="1"/>
    </xf>
    <xf numFmtId="0" fontId="15" fillId="0" borderId="39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8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0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9" fillId="75" borderId="2" xfId="4" applyFont="1" applyFill="1" applyBorder="1" applyAlignment="1">
      <alignment wrapText="1"/>
    </xf>
    <xf numFmtId="0" fontId="21" fillId="75" borderId="2" xfId="13018" applyFont="1" applyFill="1" applyBorder="1" applyAlignment="1">
      <alignment horizontal="center"/>
    </xf>
    <xf numFmtId="0" fontId="19" fillId="75" borderId="2" xfId="13018" applyFont="1" applyFill="1" applyBorder="1" applyAlignment="1">
      <alignment horizontal="center" vertical="center"/>
    </xf>
    <xf numFmtId="3" fontId="20" fillId="75" borderId="2" xfId="13018" applyNumberFormat="1" applyFont="1" applyFill="1" applyBorder="1" applyAlignment="1">
      <alignment horizontal="center" vertical="center"/>
    </xf>
    <xf numFmtId="3" fontId="26" fillId="75" borderId="2" xfId="13018" applyNumberFormat="1" applyFont="1" applyFill="1" applyBorder="1" applyAlignment="1">
      <alignment horizontal="center" vertical="center"/>
    </xf>
    <xf numFmtId="169" fontId="19" fillId="75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31" fillId="0" borderId="2" xfId="0" applyFont="1" applyFill="1" applyBorder="1" applyAlignment="1">
      <alignment horizontal="left" vertical="center" wrapText="1" indent="1"/>
    </xf>
    <xf numFmtId="0" fontId="27" fillId="0" borderId="0" xfId="9" applyFont="1" applyFill="1" applyBorder="1"/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5" borderId="2" xfId="4" applyFont="1" applyFill="1" applyBorder="1" applyAlignment="1">
      <alignment horizontal="center" vertical="center" wrapText="1"/>
    </xf>
    <xf numFmtId="177" fontId="19" fillId="0" borderId="2" xfId="33186" applyNumberFormat="1" applyFont="1" applyFill="1" applyBorder="1" applyAlignment="1">
      <alignment horizontal="center" vertical="center" wrapTex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16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181" fontId="27" fillId="0" borderId="0" xfId="9" applyNumberFormat="1" applyFont="1"/>
    <xf numFmtId="0" fontId="15" fillId="0" borderId="29" xfId="0" applyFont="1" applyFill="1" applyBorder="1" applyAlignment="1">
      <alignment horizontal="left" vertical="center" wrapText="1" indent="1"/>
    </xf>
    <xf numFmtId="3" fontId="15" fillId="0" borderId="2" xfId="33170" applyNumberFormat="1" applyFont="1" applyFill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0" fontId="19" fillId="0" borderId="2" xfId="16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15" fillId="0" borderId="2" xfId="4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15" fillId="0" borderId="0" xfId="16" applyNumberFormat="1" applyFont="1" applyFill="1"/>
    <xf numFmtId="0" fontId="15" fillId="0" borderId="0" xfId="16" applyFont="1" applyFill="1"/>
    <xf numFmtId="2" fontId="15" fillId="0" borderId="31" xfId="33165" applyNumberFormat="1" applyFont="1" applyFill="1" applyBorder="1" applyAlignment="1">
      <alignment horizontal="left" vertical="center" wrapText="1" indent="1"/>
    </xf>
    <xf numFmtId="2" fontId="15" fillId="0" borderId="2" xfId="33165" applyNumberFormat="1" applyFont="1" applyFill="1" applyBorder="1" applyAlignment="1">
      <alignment horizontal="left" vertical="center" wrapText="1" indent="1"/>
    </xf>
    <xf numFmtId="0" fontId="15" fillId="0" borderId="3" xfId="16" applyFont="1" applyFill="1" applyBorder="1" applyAlignment="1">
      <alignment horizontal="center" vertical="center"/>
    </xf>
    <xf numFmtId="165" fontId="15" fillId="0" borderId="2" xfId="0" applyNumberFormat="1" applyFont="1" applyFill="1" applyBorder="1" applyAlignment="1">
      <alignment horizontal="center" vertical="center" wrapText="1"/>
    </xf>
    <xf numFmtId="0" fontId="111" fillId="0" borderId="0" xfId="0" applyFont="1" applyFill="1" applyAlignment="1">
      <alignment horizontal="center"/>
    </xf>
    <xf numFmtId="0" fontId="130" fillId="0" borderId="0" xfId="0" applyFont="1" applyFill="1" applyAlignment="1">
      <alignment horizontal="center"/>
    </xf>
    <xf numFmtId="0" fontId="135" fillId="0" borderId="0" xfId="0" applyFont="1" applyFill="1" applyAlignment="1">
      <alignment horizontal="center" vertical="top" wrapText="1"/>
    </xf>
    <xf numFmtId="0" fontId="136" fillId="0" borderId="0" xfId="0" applyFont="1" applyFill="1" applyAlignment="1">
      <alignment horizontal="center"/>
    </xf>
    <xf numFmtId="0" fontId="137" fillId="0" borderId="0" xfId="0" applyFont="1" applyFill="1" applyAlignment="1">
      <alignment horizontal="center"/>
    </xf>
    <xf numFmtId="0" fontId="137" fillId="0" borderId="0" xfId="0" applyFont="1" applyFill="1" applyAlignment="1">
      <alignment horizontal="center" vertical="center"/>
    </xf>
    <xf numFmtId="3" fontId="137" fillId="0" borderId="0" xfId="0" applyNumberFormat="1" applyFont="1" applyFill="1" applyAlignment="1">
      <alignment horizontal="center"/>
    </xf>
    <xf numFmtId="0" fontId="137" fillId="0" borderId="0" xfId="0" applyFont="1" applyFill="1" applyBorder="1" applyAlignment="1">
      <alignment horizontal="center"/>
    </xf>
    <xf numFmtId="0" fontId="137" fillId="0" borderId="0" xfId="0" applyFont="1" applyFill="1" applyAlignment="1">
      <alignment horizontal="center" wrapText="1"/>
    </xf>
    <xf numFmtId="0" fontId="26" fillId="0" borderId="0" xfId="9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0" borderId="0" xfId="9" applyFont="1" applyFill="1" applyBorder="1"/>
    <xf numFmtId="0" fontId="15" fillId="0" borderId="33" xfId="0" applyFont="1" applyFill="1" applyBorder="1" applyAlignment="1">
      <alignment horizontal="center" vertical="top" wrapText="1"/>
    </xf>
    <xf numFmtId="0" fontId="26" fillId="0" borderId="31" xfId="9" applyFont="1" applyFill="1" applyBorder="1" applyAlignment="1">
      <alignment vertical="center" wrapText="1"/>
    </xf>
    <xf numFmtId="0" fontId="14" fillId="0" borderId="31" xfId="9" applyFont="1" applyFill="1" applyBorder="1" applyAlignment="1">
      <alignment horizontal="left" vertical="center" wrapText="1" indent="1"/>
    </xf>
    <xf numFmtId="0" fontId="26" fillId="2" borderId="5" xfId="9" applyFont="1" applyFill="1" applyBorder="1" applyAlignment="1">
      <alignment horizontal="left" vertical="top" indent="1"/>
    </xf>
    <xf numFmtId="0" fontId="14" fillId="0" borderId="0" xfId="33151" applyFont="1" applyFill="1" applyAlignment="1">
      <alignment horizontal="center" vertical="center"/>
    </xf>
    <xf numFmtId="0" fontId="17" fillId="0" borderId="0" xfId="33157" applyFont="1" applyFill="1" applyAlignment="1">
      <alignment horizontal="right" vertical="top"/>
    </xf>
    <xf numFmtId="0" fontId="15" fillId="0" borderId="0" xfId="33151" applyFont="1" applyFill="1"/>
    <xf numFmtId="0" fontId="14" fillId="0" borderId="0" xfId="33151" applyFont="1" applyFill="1"/>
    <xf numFmtId="0" fontId="120" fillId="0" borderId="0" xfId="33151" applyFont="1" applyFill="1" applyAlignment="1">
      <alignment horizontal="center" vertical="center" wrapText="1"/>
    </xf>
    <xf numFmtId="0" fontId="121" fillId="0" borderId="0" xfId="33151" applyFont="1" applyFill="1"/>
    <xf numFmtId="0" fontId="121" fillId="0" borderId="0" xfId="33151" applyFont="1" applyFill="1" applyAlignment="1">
      <alignment horizontal="center" vertical="center" wrapText="1"/>
    </xf>
    <xf numFmtId="14" fontId="17" fillId="0" borderId="0" xfId="1" applyNumberFormat="1" applyFont="1" applyFill="1" applyAlignment="1">
      <alignment horizontal="right" vertical="center"/>
    </xf>
    <xf numFmtId="0" fontId="123" fillId="0" borderId="0" xfId="33151" applyFont="1" applyFill="1" applyAlignment="1">
      <alignment vertical="center" wrapText="1"/>
    </xf>
    <xf numFmtId="0" fontId="114" fillId="0" borderId="0" xfId="33151" applyFont="1" applyFill="1" applyAlignment="1">
      <alignment vertical="center"/>
    </xf>
    <xf numFmtId="0" fontId="15" fillId="0" borderId="0" xfId="33151" applyFont="1" applyFill="1" applyAlignment="1">
      <alignment horizontal="center" vertical="center"/>
    </xf>
    <xf numFmtId="0" fontId="15" fillId="0" borderId="0" xfId="33151" applyFont="1" applyFill="1" applyAlignment="1">
      <alignment horizontal="left" wrapText="1" inden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wrapText="1" indent="1"/>
    </xf>
    <xf numFmtId="41" fontId="15" fillId="0" borderId="2" xfId="16" applyNumberFormat="1" applyFont="1" applyFill="1" applyBorder="1"/>
    <xf numFmtId="0" fontId="15" fillId="0" borderId="3" xfId="0" applyFont="1" applyFill="1" applyBorder="1" applyAlignment="1">
      <alignment horizontal="center" vertical="center" wrapText="1"/>
    </xf>
    <xf numFmtId="0" fontId="124" fillId="0" borderId="3" xfId="16" applyFont="1" applyFill="1" applyBorder="1" applyAlignment="1">
      <alignment horizontal="left" vertical="center" wrapText="1" indent="1"/>
    </xf>
    <xf numFmtId="41" fontId="19" fillId="0" borderId="3" xfId="16" applyNumberFormat="1" applyFont="1" applyFill="1" applyBorder="1"/>
    <xf numFmtId="0" fontId="15" fillId="0" borderId="0" xfId="16" applyFont="1" applyFill="1" applyAlignment="1">
      <alignment horizontal="center"/>
    </xf>
    <xf numFmtId="0" fontId="15" fillId="0" borderId="2" xfId="16" applyFont="1" applyFill="1" applyBorder="1" applyAlignment="1">
      <alignment horizontal="center" vertical="center"/>
    </xf>
    <xf numFmtId="0" fontId="125" fillId="0" borderId="4" xfId="16" applyFont="1" applyFill="1" applyBorder="1" applyAlignment="1">
      <alignment horizontal="left" vertical="center" wrapText="1" indent="1"/>
    </xf>
    <xf numFmtId="41" fontId="126" fillId="0" borderId="2" xfId="16" applyNumberFormat="1" applyFont="1" applyFill="1" applyBorder="1"/>
    <xf numFmtId="0" fontId="15" fillId="0" borderId="0" xfId="16" applyFont="1" applyFill="1" applyAlignment="1">
      <alignment vertical="center"/>
    </xf>
    <xf numFmtId="0" fontId="125" fillId="0" borderId="2" xfId="16" applyFont="1" applyFill="1" applyBorder="1" applyAlignment="1">
      <alignment horizontal="left" vertical="center" wrapText="1" indent="1"/>
    </xf>
    <xf numFmtId="41" fontId="19" fillId="0" borderId="2" xfId="16" applyNumberFormat="1" applyFont="1" applyFill="1" applyBorder="1"/>
    <xf numFmtId="0" fontId="15" fillId="0" borderId="0" xfId="16" applyFont="1" applyFill="1" applyAlignment="1">
      <alignment horizontal="center" vertical="center"/>
    </xf>
    <xf numFmtId="0" fontId="124" fillId="0" borderId="0" xfId="16" applyFont="1" applyFill="1" applyAlignment="1">
      <alignment horizontal="left" vertical="center" wrapText="1" indent="1"/>
    </xf>
    <xf numFmtId="3" fontId="19" fillId="0" borderId="0" xfId="16" applyNumberFormat="1" applyFont="1" applyFill="1"/>
    <xf numFmtId="176" fontId="15" fillId="0" borderId="0" xfId="33184" applyNumberFormat="1" applyFont="1" applyFill="1" applyAlignment="1">
      <alignment horizontal="center" vertical="center" wrapText="1"/>
    </xf>
    <xf numFmtId="176" fontId="15" fillId="0" borderId="3" xfId="33184" applyNumberFormat="1" applyFont="1" applyFill="1" applyBorder="1" applyAlignment="1">
      <alignment horizontal="center" vertical="center" wrapText="1"/>
    </xf>
    <xf numFmtId="3" fontId="15" fillId="0" borderId="3" xfId="33184" applyNumberFormat="1" applyFont="1" applyFill="1" applyBorder="1" applyAlignment="1">
      <alignment horizontal="center" vertical="center" wrapText="1"/>
    </xf>
    <xf numFmtId="3" fontId="15" fillId="0" borderId="0" xfId="33184" applyNumberFormat="1" applyFont="1" applyFill="1" applyAlignment="1">
      <alignment horizontal="center" vertical="center" wrapText="1"/>
    </xf>
    <xf numFmtId="0" fontId="15" fillId="0" borderId="2" xfId="16" applyFont="1" applyFill="1" applyBorder="1" applyAlignment="1">
      <alignment horizontal="left" wrapText="1" indent="1"/>
    </xf>
    <xf numFmtId="41" fontId="15" fillId="0" borderId="0" xfId="16" applyNumberFormat="1" applyFont="1" applyFill="1"/>
    <xf numFmtId="0" fontId="15" fillId="0" borderId="31" xfId="33159" applyFont="1" applyFill="1" applyBorder="1" applyAlignment="1">
      <alignment horizontal="left" vertical="center" wrapText="1" indent="1"/>
    </xf>
    <xf numFmtId="0" fontId="124" fillId="0" borderId="2" xfId="16" applyFont="1" applyFill="1" applyBorder="1" applyAlignment="1">
      <alignment horizontal="left" vertical="center" wrapText="1" indent="1"/>
    </xf>
    <xf numFmtId="3" fontId="19" fillId="0" borderId="2" xfId="16" applyNumberFormat="1" applyFont="1" applyFill="1" applyBorder="1"/>
    <xf numFmtId="0" fontId="15" fillId="0" borderId="0" xfId="16" applyFont="1" applyFill="1" applyAlignment="1">
      <alignment horizontal="left" wrapText="1" indent="1"/>
    </xf>
    <xf numFmtId="0" fontId="26" fillId="0" borderId="0" xfId="16" applyFont="1" applyFill="1" applyAlignment="1">
      <alignment horizontal="center" vertical="center"/>
    </xf>
    <xf numFmtId="0" fontId="114" fillId="0" borderId="0" xfId="16" applyFont="1" applyFill="1" applyAlignment="1">
      <alignment horizontal="center" vertical="center"/>
    </xf>
    <xf numFmtId="0" fontId="15" fillId="0" borderId="2" xfId="16" applyFont="1" applyFill="1" applyBorder="1" applyAlignment="1">
      <alignment horizontal="center"/>
    </xf>
    <xf numFmtId="0" fontId="15" fillId="0" borderId="2" xfId="16" applyFont="1" applyFill="1" applyBorder="1" applyAlignment="1">
      <alignment horizontal="center" wrapText="1"/>
    </xf>
    <xf numFmtId="0" fontId="15" fillId="0" borderId="0" xfId="16" applyFont="1" applyFill="1" applyAlignment="1">
      <alignment horizontal="center" wrapText="1"/>
    </xf>
    <xf numFmtId="3" fontId="15" fillId="0" borderId="2" xfId="16" applyNumberFormat="1" applyFont="1" applyFill="1" applyBorder="1" applyAlignment="1">
      <alignment horizontal="center" vertical="center" wrapText="1"/>
    </xf>
    <xf numFmtId="4" fontId="15" fillId="0" borderId="2" xfId="16" applyNumberFormat="1" applyFont="1" applyFill="1" applyBorder="1" applyAlignment="1">
      <alignment horizontal="left" wrapText="1" indent="1"/>
    </xf>
    <xf numFmtId="0" fontId="15" fillId="0" borderId="2" xfId="16" applyFont="1" applyFill="1" applyBorder="1"/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top" wrapText="1" indent="1"/>
    </xf>
    <xf numFmtId="3" fontId="19" fillId="0" borderId="2" xfId="16" applyNumberFormat="1" applyFont="1" applyFill="1" applyBorder="1" applyAlignment="1">
      <alignment horizontal="center" vertical="center"/>
    </xf>
    <xf numFmtId="177" fontId="19" fillId="0" borderId="2" xfId="16" applyNumberFormat="1" applyFont="1" applyFill="1" applyBorder="1" applyAlignment="1">
      <alignment horizontal="right" wrapText="1"/>
    </xf>
    <xf numFmtId="177" fontId="19" fillId="0" borderId="0" xfId="16" applyNumberFormat="1" applyFont="1" applyFill="1" applyAlignment="1">
      <alignment horizontal="right" wrapText="1"/>
    </xf>
    <xf numFmtId="0" fontId="26" fillId="0" borderId="0" xfId="16" applyFont="1" applyFill="1" applyAlignment="1">
      <alignment vertical="center"/>
    </xf>
    <xf numFmtId="0" fontId="15" fillId="0" borderId="5" xfId="33185" applyFont="1" applyFill="1" applyBorder="1" applyAlignment="1">
      <alignment horizontal="center" vertical="center" wrapText="1"/>
    </xf>
    <xf numFmtId="0" fontId="15" fillId="0" borderId="2" xfId="33185" applyFont="1" applyFill="1" applyBorder="1" applyAlignment="1">
      <alignment horizontal="center" vertical="center" wrapText="1"/>
    </xf>
    <xf numFmtId="177" fontId="15" fillId="0" borderId="0" xfId="16" applyNumberFormat="1" applyFont="1" applyFill="1"/>
    <xf numFmtId="0" fontId="15" fillId="0" borderId="2" xfId="33185" applyFont="1" applyFill="1" applyBorder="1" applyAlignment="1">
      <alignment horizontal="left" wrapText="1" indent="1"/>
    </xf>
    <xf numFmtId="3" fontId="15" fillId="0" borderId="2" xfId="33184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wrapText="1"/>
    </xf>
    <xf numFmtId="3" fontId="15" fillId="0" borderId="2" xfId="16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5" fillId="0" borderId="2" xfId="33159" applyFont="1" applyFill="1" applyBorder="1" applyAlignment="1"/>
    <xf numFmtId="3" fontId="15" fillId="0" borderId="2" xfId="33184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left" vertical="center" wrapText="1" indent="1"/>
    </xf>
    <xf numFmtId="0" fontId="114" fillId="0" borderId="0" xfId="0" applyFont="1" applyFill="1" applyAlignment="1">
      <alignment horizontal="center" vertical="center" wrapText="1"/>
    </xf>
    <xf numFmtId="0" fontId="15" fillId="0" borderId="2" xfId="33159" applyFont="1" applyFill="1" applyBorder="1" applyAlignment="1">
      <alignment horizontal="center" vertical="center" wrapText="1"/>
    </xf>
    <xf numFmtId="0" fontId="15" fillId="0" borderId="2" xfId="17031" applyFont="1" applyFill="1" applyBorder="1" applyAlignment="1">
      <alignment horizontal="center" vertical="center" wrapText="1"/>
    </xf>
    <xf numFmtId="0" fontId="17" fillId="0" borderId="2" xfId="33159" applyFont="1" applyFill="1" applyBorder="1" applyAlignment="1">
      <alignment horizontal="left" vertical="center" wrapText="1"/>
    </xf>
    <xf numFmtId="3" fontId="22" fillId="0" borderId="2" xfId="0" applyNumberFormat="1" applyFont="1" applyFill="1" applyBorder="1" applyAlignment="1">
      <alignment horizontal="center" vertical="center"/>
    </xf>
    <xf numFmtId="3" fontId="127" fillId="0" borderId="0" xfId="16" applyNumberFormat="1" applyFont="1" applyFill="1"/>
    <xf numFmtId="1" fontId="15" fillId="0" borderId="2" xfId="33162" applyNumberFormat="1" applyFont="1" applyFill="1" applyBorder="1" applyAlignment="1">
      <alignment horizontal="left" vertical="center" wrapText="1" indent="1"/>
    </xf>
    <xf numFmtId="3" fontId="15" fillId="0" borderId="33" xfId="16" applyNumberFormat="1" applyFont="1" applyFill="1" applyBorder="1"/>
    <xf numFmtId="3" fontId="15" fillId="0" borderId="2" xfId="33163" applyNumberFormat="1" applyFont="1" applyFill="1" applyBorder="1" applyAlignment="1">
      <alignment horizontal="center" vertical="center" wrapText="1"/>
    </xf>
    <xf numFmtId="0" fontId="22" fillId="0" borderId="2" xfId="33185" applyFont="1" applyFill="1" applyBorder="1" applyAlignment="1">
      <alignment horizontal="left" indent="1"/>
    </xf>
    <xf numFmtId="0" fontId="15" fillId="0" borderId="0" xfId="33185" applyFont="1" applyFill="1" applyAlignment="1">
      <alignment horizontal="left" wrapText="1" indent="1"/>
    </xf>
    <xf numFmtId="3" fontId="15" fillId="0" borderId="0" xfId="16" applyNumberFormat="1" applyFont="1" applyFill="1" applyAlignment="1">
      <alignment horizontal="center"/>
    </xf>
    <xf numFmtId="1" fontId="15" fillId="0" borderId="2" xfId="33162" applyNumberFormat="1" applyFont="1" applyFill="1" applyBorder="1" applyAlignment="1">
      <alignment horizontal="center" vertical="center" wrapText="1"/>
    </xf>
    <xf numFmtId="0" fontId="15" fillId="0" borderId="2" xfId="33163" applyFont="1" applyFill="1" applyBorder="1" applyAlignment="1">
      <alignment horizontal="center" vertical="center" wrapText="1"/>
    </xf>
    <xf numFmtId="0" fontId="15" fillId="0" borderId="1" xfId="33162" applyFont="1" applyFill="1" applyBorder="1" applyAlignment="1">
      <alignment horizontal="left" vertical="center" wrapText="1" indent="1"/>
    </xf>
    <xf numFmtId="0" fontId="15" fillId="0" borderId="31" xfId="33164" applyFont="1" applyFill="1" applyBorder="1" applyAlignment="1">
      <alignment horizontal="left" wrapText="1" indent="1"/>
    </xf>
    <xf numFmtId="0" fontId="15" fillId="0" borderId="31" xfId="33162" applyFont="1" applyFill="1" applyBorder="1" applyAlignment="1">
      <alignment horizontal="left" wrapText="1" indent="1"/>
    </xf>
    <xf numFmtId="0" fontId="124" fillId="0" borderId="31" xfId="16" applyFont="1" applyFill="1" applyBorder="1" applyAlignment="1">
      <alignment horizontal="left" vertical="center" wrapText="1" indent="1"/>
    </xf>
    <xf numFmtId="0" fontId="22" fillId="0" borderId="4" xfId="0" applyFont="1" applyFill="1" applyBorder="1"/>
    <xf numFmtId="0" fontId="18" fillId="0" borderId="2" xfId="0" applyFont="1" applyFill="1" applyBorder="1"/>
    <xf numFmtId="0" fontId="15" fillId="0" borderId="2" xfId="16" applyFont="1" applyFill="1" applyBorder="1" applyAlignment="1">
      <alignment vertical="center"/>
    </xf>
    <xf numFmtId="0" fontId="15" fillId="0" borderId="2" xfId="33159" applyFont="1" applyFill="1" applyBorder="1" applyAlignment="1">
      <alignment vertical="center" wrapText="1"/>
    </xf>
    <xf numFmtId="0" fontId="15" fillId="0" borderId="0" xfId="33159" applyFont="1" applyFill="1" applyAlignment="1">
      <alignment vertical="center" wrapText="1"/>
    </xf>
    <xf numFmtId="0" fontId="15" fillId="0" borderId="34" xfId="33159" applyFont="1" applyFill="1" applyBorder="1" applyAlignment="1">
      <alignment horizontal="left" vertical="center" wrapText="1" indent="1"/>
    </xf>
    <xf numFmtId="0" fontId="15" fillId="0" borderId="4" xfId="33159" applyFont="1" applyFill="1" applyBorder="1" applyAlignment="1">
      <alignment horizontal="left" vertical="center" wrapText="1" indent="1"/>
    </xf>
    <xf numFmtId="0" fontId="15" fillId="0" borderId="4" xfId="13" applyFont="1" applyFill="1" applyBorder="1" applyAlignment="1">
      <alignment horizontal="left" wrapText="1" indent="1"/>
    </xf>
    <xf numFmtId="0" fontId="15" fillId="0" borderId="0" xfId="33159" applyFont="1" applyFill="1" applyAlignment="1">
      <alignment horizontal="left" vertical="center" wrapText="1" indent="1"/>
    </xf>
    <xf numFmtId="0" fontId="19" fillId="0" borderId="2" xfId="33165" applyFont="1" applyFill="1" applyBorder="1" applyAlignment="1">
      <alignment horizontal="left" vertical="center" wrapText="1" indent="1"/>
    </xf>
    <xf numFmtId="0" fontId="17" fillId="0" borderId="2" xfId="33165" applyFont="1" applyFill="1" applyBorder="1" applyAlignment="1">
      <alignment horizontal="left" vertical="center" wrapText="1" indent="1"/>
    </xf>
    <xf numFmtId="0" fontId="15" fillId="0" borderId="2" xfId="33159" applyFont="1" applyFill="1" applyBorder="1" applyAlignment="1">
      <alignment horizontal="left" vertical="center" wrapText="1" indent="1"/>
    </xf>
    <xf numFmtId="3" fontId="15" fillId="0" borderId="2" xfId="33159" applyNumberFormat="1" applyFont="1" applyFill="1" applyBorder="1" applyAlignment="1">
      <alignment horizontal="center" vertical="center" wrapText="1"/>
    </xf>
    <xf numFmtId="0" fontId="15" fillId="0" borderId="0" xfId="33159" applyFont="1" applyFill="1" applyAlignment="1">
      <alignment horizontal="left" vertical="center" wrapText="1" indent="2"/>
    </xf>
    <xf numFmtId="3" fontId="15" fillId="0" borderId="0" xfId="33159" applyNumberFormat="1" applyFont="1" applyFill="1" applyAlignment="1">
      <alignment horizontal="center" vertical="center" wrapText="1"/>
    </xf>
    <xf numFmtId="3" fontId="15" fillId="0" borderId="0" xfId="16" applyNumberFormat="1" applyFont="1" applyFill="1" applyAlignment="1">
      <alignment horizontal="center" vertical="center"/>
    </xf>
    <xf numFmtId="0" fontId="15" fillId="0" borderId="2" xfId="33187" applyFont="1" applyFill="1" applyBorder="1" applyAlignment="1">
      <alignment horizontal="left" vertical="center" wrapText="1"/>
    </xf>
    <xf numFmtId="178" fontId="15" fillId="0" borderId="2" xfId="16" applyNumberFormat="1" applyFont="1" applyFill="1" applyBorder="1" applyAlignment="1">
      <alignment horizontal="center" vertical="center"/>
    </xf>
    <xf numFmtId="0" fontId="15" fillId="0" borderId="2" xfId="33185" applyFont="1" applyFill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/>
    </xf>
    <xf numFmtId="0" fontId="15" fillId="0" borderId="2" xfId="33185" applyFont="1" applyFill="1" applyBorder="1" applyAlignment="1">
      <alignment horizontal="center" vertical="center"/>
    </xf>
    <xf numFmtId="0" fontId="15" fillId="0" borderId="2" xfId="33184" applyFont="1" applyFill="1" applyBorder="1" applyAlignment="1">
      <alignment horizontal="center" vertical="center"/>
    </xf>
    <xf numFmtId="3" fontId="15" fillId="0" borderId="0" xfId="16" applyNumberFormat="1" applyFont="1" applyFill="1" applyAlignment="1">
      <alignment vertical="center"/>
    </xf>
    <xf numFmtId="49" fontId="15" fillId="0" borderId="5" xfId="16" applyNumberFormat="1" applyFont="1" applyFill="1" applyBorder="1" applyAlignment="1">
      <alignment horizontal="left" vertical="center" wrapText="1"/>
    </xf>
    <xf numFmtId="3" fontId="15" fillId="0" borderId="5" xfId="33159" applyNumberFormat="1" applyFont="1" applyFill="1" applyBorder="1" applyAlignment="1">
      <alignment horizontal="center" vertical="center" wrapText="1"/>
    </xf>
    <xf numFmtId="3" fontId="15" fillId="0" borderId="5" xfId="16" applyNumberFormat="1" applyFont="1" applyFill="1" applyBorder="1" applyAlignment="1">
      <alignment horizontal="center" vertical="center"/>
    </xf>
    <xf numFmtId="0" fontId="15" fillId="0" borderId="4" xfId="33159" applyFont="1" applyFill="1" applyBorder="1" applyAlignment="1">
      <alignment horizontal="left" vertical="center" wrapText="1" indent="2"/>
    </xf>
    <xf numFmtId="1" fontId="15" fillId="0" borderId="2" xfId="33168" applyNumberFormat="1" applyFont="1" applyFill="1" applyBorder="1" applyAlignment="1">
      <alignment horizontal="center" vertical="center" wrapText="1"/>
    </xf>
    <xf numFmtId="2" fontId="123" fillId="0" borderId="0" xfId="33168" applyNumberFormat="1" applyFont="1" applyFill="1" applyAlignment="1">
      <alignment horizontal="left" vertical="center" wrapText="1" indent="1"/>
    </xf>
    <xf numFmtId="3" fontId="17" fillId="0" borderId="2" xfId="33169" applyNumberFormat="1" applyFont="1" applyFill="1" applyBorder="1" applyAlignment="1">
      <alignment horizontal="center" vertical="center"/>
    </xf>
    <xf numFmtId="0" fontId="15" fillId="0" borderId="2" xfId="33159" applyFont="1" applyFill="1" applyBorder="1" applyAlignment="1">
      <alignment horizontal="left" vertical="center" wrapText="1" indent="1"/>
    </xf>
    <xf numFmtId="0" fontId="133" fillId="0" borderId="2" xfId="33159" applyFont="1" applyFill="1" applyBorder="1" applyAlignment="1">
      <alignment horizontal="left" vertical="center" wrapText="1" indent="2"/>
    </xf>
    <xf numFmtId="3" fontId="15" fillId="0" borderId="0" xfId="17" applyNumberFormat="1" applyFont="1" applyFill="1" applyAlignment="1">
      <alignment vertical="center"/>
    </xf>
    <xf numFmtId="0" fontId="128" fillId="0" borderId="0" xfId="2" applyFont="1" applyFill="1" applyAlignment="1">
      <alignment vertical="center" wrapText="1"/>
    </xf>
    <xf numFmtId="3" fontId="128" fillId="0" borderId="0" xfId="2" applyNumberFormat="1" applyFont="1" applyFill="1" applyAlignment="1">
      <alignment vertical="center" wrapText="1"/>
    </xf>
    <xf numFmtId="2" fontId="15" fillId="0" borderId="2" xfId="33165" applyNumberFormat="1" applyFont="1" applyFill="1" applyBorder="1" applyAlignment="1">
      <alignment horizontal="left" wrapText="1" indent="1"/>
    </xf>
    <xf numFmtId="3" fontId="19" fillId="0" borderId="2" xfId="33170" applyNumberFormat="1" applyFont="1" applyFill="1" applyBorder="1" applyAlignment="1">
      <alignment horizontal="center" wrapText="1"/>
    </xf>
    <xf numFmtId="0" fontId="26" fillId="0" borderId="0" xfId="16" applyFont="1" applyFill="1" applyAlignment="1">
      <alignment horizontal="center" vertical="center" wrapText="1"/>
    </xf>
    <xf numFmtId="0" fontId="15" fillId="0" borderId="2" xfId="16" applyFont="1" applyFill="1" applyBorder="1" applyAlignment="1">
      <alignment horizontal="center" vertical="center" wrapText="1"/>
    </xf>
    <xf numFmtId="0" fontId="15" fillId="0" borderId="0" xfId="33151" applyFont="1" applyFill="1" applyBorder="1"/>
    <xf numFmtId="0" fontId="15" fillId="0" borderId="2" xfId="16" applyFont="1" applyFill="1" applyBorder="1" applyAlignment="1">
      <alignment horizontal="left" vertical="center" wrapText="1" indent="1"/>
    </xf>
    <xf numFmtId="41" fontId="15" fillId="0" borderId="0" xfId="16" applyNumberFormat="1" applyFont="1" applyFill="1" applyBorder="1"/>
    <xf numFmtId="0" fontId="15" fillId="0" borderId="2" xfId="33151" applyFont="1" applyFill="1" applyBorder="1" applyAlignment="1">
      <alignment horizontal="center" vertical="center"/>
    </xf>
    <xf numFmtId="0" fontId="15" fillId="0" borderId="0" xfId="33151" applyFont="1" applyFill="1" applyAlignment="1">
      <alignment horizontal="center" vertical="center" wrapText="1"/>
    </xf>
    <xf numFmtId="0" fontId="15" fillId="0" borderId="2" xfId="3315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15" fillId="0" borderId="2" xfId="33151" applyFont="1" applyFill="1" applyBorder="1" applyAlignment="1">
      <alignment horizontal="left" wrapText="1" indent="1"/>
    </xf>
    <xf numFmtId="165" fontId="15" fillId="0" borderId="2" xfId="33151" applyNumberFormat="1" applyFont="1" applyFill="1" applyBorder="1" applyAlignment="1">
      <alignment horizontal="left" wrapText="1" indent="1"/>
    </xf>
    <xf numFmtId="165" fontId="15" fillId="0" borderId="2" xfId="33151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wrapText="1"/>
    </xf>
    <xf numFmtId="0" fontId="19" fillId="0" borderId="2" xfId="33151" applyFont="1" applyFill="1" applyBorder="1" applyAlignment="1">
      <alignment horizontal="left" wrapText="1" indent="1"/>
    </xf>
    <xf numFmtId="3" fontId="19" fillId="0" borderId="2" xfId="33151" applyNumberFormat="1" applyFont="1" applyFill="1" applyBorder="1" applyAlignment="1">
      <alignment horizontal="center" vertical="center"/>
    </xf>
    <xf numFmtId="3" fontId="19" fillId="0" borderId="0" xfId="33151" applyNumberFormat="1" applyFont="1" applyFill="1" applyAlignment="1">
      <alignment horizontal="center" vertical="center"/>
    </xf>
    <xf numFmtId="165" fontId="15" fillId="0" borderId="0" xfId="33151" applyNumberFormat="1" applyFont="1" applyFill="1"/>
    <xf numFmtId="3" fontId="19" fillId="0" borderId="2" xfId="33151" applyNumberFormat="1" applyFont="1" applyFill="1" applyBorder="1" applyAlignment="1">
      <alignment horizontal="center"/>
    </xf>
    <xf numFmtId="3" fontId="19" fillId="0" borderId="0" xfId="33151" applyNumberFormat="1" applyFont="1" applyFill="1" applyAlignment="1">
      <alignment horizontal="center"/>
    </xf>
    <xf numFmtId="0" fontId="123" fillId="75" borderId="0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3" fontId="15" fillId="3" borderId="2" xfId="0" applyNumberFormat="1" applyFont="1" applyFill="1" applyBorder="1" applyAlignment="1">
      <alignment horizontal="center" vertical="center" wrapText="1"/>
    </xf>
    <xf numFmtId="168" fontId="15" fillId="3" borderId="5" xfId="0" applyNumberFormat="1" applyFont="1" applyFill="1" applyBorder="1" applyAlignment="1">
      <alignment horizontal="center" vertical="center" wrapText="1"/>
    </xf>
    <xf numFmtId="168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8" fontId="19" fillId="3" borderId="4" xfId="0" applyNumberFormat="1" applyFont="1" applyFill="1" applyBorder="1" applyAlignment="1">
      <alignment horizontal="center" vertical="center" wrapText="1"/>
    </xf>
    <xf numFmtId="168" fontId="19" fillId="3" borderId="8" xfId="0" applyNumberFormat="1" applyFont="1" applyFill="1" applyBorder="1" applyAlignment="1">
      <alignment horizontal="center" vertical="center" wrapText="1"/>
    </xf>
    <xf numFmtId="168" fontId="19" fillId="3" borderId="31" xfId="0" applyNumberFormat="1" applyFont="1" applyFill="1" applyBorder="1" applyAlignment="1">
      <alignment horizontal="center" vertical="center" wrapText="1"/>
    </xf>
    <xf numFmtId="168" fontId="15" fillId="3" borderId="4" xfId="0" applyNumberFormat="1" applyFont="1" applyFill="1" applyBorder="1" applyAlignment="1">
      <alignment horizontal="center" vertical="center" wrapText="1"/>
    </xf>
    <xf numFmtId="168" fontId="15" fillId="3" borderId="31" xfId="0" applyNumberFormat="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/>
    </xf>
    <xf numFmtId="0" fontId="22" fillId="2" borderId="6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119" fillId="0" borderId="4" xfId="0" applyFont="1" applyFill="1" applyBorder="1" applyAlignment="1">
      <alignment horizontal="left" vertical="center" wrapText="1" indent="1"/>
    </xf>
    <xf numFmtId="0" fontId="119" fillId="0" borderId="31" xfId="0" applyFont="1" applyFill="1" applyBorder="1" applyAlignment="1">
      <alignment horizontal="left" vertical="center" wrapText="1" indent="1"/>
    </xf>
    <xf numFmtId="0" fontId="115" fillId="0" borderId="30" xfId="2" applyFont="1" applyFill="1" applyBorder="1" applyAlignment="1">
      <alignment horizontal="left" vertical="center" wrapText="1"/>
    </xf>
    <xf numFmtId="0" fontId="123" fillId="75" borderId="0" xfId="3" applyFont="1" applyFill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19" fillId="2" borderId="2" xfId="4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123" fillId="75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43" fontId="15" fillId="0" borderId="2" xfId="5" applyFont="1" applyFill="1" applyBorder="1" applyAlignment="1">
      <alignment horizontal="center" vertical="center" wrapText="1"/>
    </xf>
    <xf numFmtId="0" fontId="134" fillId="0" borderId="2" xfId="4" applyFont="1" applyFill="1" applyBorder="1" applyAlignment="1">
      <alignment horizontal="center" vertical="center" wrapText="1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2" fillId="75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5" xfId="8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horizontal="left" vertical="center" wrapText="1" indent="1"/>
    </xf>
    <xf numFmtId="0" fontId="122" fillId="0" borderId="0" xfId="13" applyFont="1" applyFill="1" applyAlignment="1">
      <alignment horizontal="center" vertical="center" wrapTex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5" fillId="0" borderId="5" xfId="33183" applyFont="1" applyFill="1" applyBorder="1" applyAlignment="1">
      <alignment horizontal="center" vertical="center" wrapText="1"/>
    </xf>
    <xf numFmtId="0" fontId="15" fillId="0" borderId="3" xfId="33183" applyFont="1" applyFill="1" applyBorder="1" applyAlignment="1">
      <alignment horizontal="center" vertical="center" wrapText="1"/>
    </xf>
    <xf numFmtId="0" fontId="19" fillId="0" borderId="5" xfId="33183" applyFont="1" applyFill="1" applyBorder="1" applyAlignment="1">
      <alignment horizontal="center" vertical="center" wrapText="1"/>
    </xf>
    <xf numFmtId="0" fontId="19" fillId="0" borderId="3" xfId="33183" applyFont="1" applyFill="1" applyBorder="1" applyAlignment="1">
      <alignment horizontal="center" vertical="center" wrapText="1"/>
    </xf>
    <xf numFmtId="0" fontId="19" fillId="0" borderId="2" xfId="33183" applyFont="1" applyFill="1" applyBorder="1" applyAlignment="1">
      <alignment horizontal="center" vertical="center" wrapText="1"/>
    </xf>
    <xf numFmtId="0" fontId="123" fillId="0" borderId="0" xfId="16" applyFont="1" applyFill="1" applyAlignment="1">
      <alignment horizontal="center" vertical="center"/>
    </xf>
    <xf numFmtId="0" fontId="15" fillId="0" borderId="5" xfId="33183" applyFont="1" applyFill="1" applyBorder="1" applyAlignment="1">
      <alignment horizontal="left" vertical="center" wrapText="1" indent="1"/>
    </xf>
    <xf numFmtId="0" fontId="15" fillId="0" borderId="3" xfId="33183" applyFont="1" applyFill="1" applyBorder="1" applyAlignment="1">
      <alignment horizontal="left" vertical="center" wrapText="1" indent="1"/>
    </xf>
    <xf numFmtId="176" fontId="15" fillId="0" borderId="7" xfId="33184" applyNumberFormat="1" applyFont="1" applyFill="1" applyBorder="1" applyAlignment="1">
      <alignment horizontal="center" vertical="center" wrapText="1"/>
    </xf>
    <xf numFmtId="176" fontId="15" fillId="0" borderId="3" xfId="33184" applyNumberFormat="1" applyFont="1" applyFill="1" applyBorder="1" applyAlignment="1">
      <alignment horizontal="center" vertical="center" wrapText="1"/>
    </xf>
    <xf numFmtId="176" fontId="15" fillId="0" borderId="4" xfId="33184" applyNumberFormat="1" applyFont="1" applyFill="1" applyBorder="1" applyAlignment="1">
      <alignment horizontal="center" vertical="center" wrapText="1"/>
    </xf>
    <xf numFmtId="176" fontId="15" fillId="0" borderId="8" xfId="33184" applyNumberFormat="1" applyFont="1" applyFill="1" applyBorder="1" applyAlignment="1">
      <alignment horizontal="center" vertical="center" wrapText="1"/>
    </xf>
    <xf numFmtId="176" fontId="15" fillId="0" borderId="31" xfId="33184" applyNumberFormat="1" applyFont="1" applyFill="1" applyBorder="1" applyAlignment="1">
      <alignment horizontal="center" vertical="center" wrapText="1"/>
    </xf>
    <xf numFmtId="0" fontId="15" fillId="0" borderId="5" xfId="16" applyFont="1" applyFill="1" applyBorder="1" applyAlignment="1">
      <alignment horizontal="center" vertical="center" wrapText="1"/>
    </xf>
    <xf numFmtId="0" fontId="15" fillId="0" borderId="3" xfId="16" applyFont="1" applyFill="1" applyBorder="1" applyAlignment="1">
      <alignment horizontal="center" vertical="center" wrapText="1"/>
    </xf>
    <xf numFmtId="0" fontId="15" fillId="0" borderId="6" xfId="16" applyFont="1" applyFill="1" applyBorder="1" applyAlignment="1">
      <alignment horizontal="center" vertical="center"/>
    </xf>
    <xf numFmtId="0" fontId="15" fillId="0" borderId="5" xfId="33159" applyFont="1" applyFill="1" applyBorder="1" applyAlignment="1">
      <alignment horizontal="center" vertical="center" wrapText="1"/>
    </xf>
    <xf numFmtId="0" fontId="15" fillId="0" borderId="6" xfId="33159" applyFont="1" applyFill="1" applyBorder="1" applyAlignment="1">
      <alignment horizontal="center" vertical="center" wrapText="1"/>
    </xf>
    <xf numFmtId="0" fontId="123" fillId="0" borderId="0" xfId="16" applyFont="1" applyFill="1" applyAlignment="1">
      <alignment horizontal="center" vertical="center" wrapText="1"/>
    </xf>
    <xf numFmtId="3" fontId="123" fillId="0" borderId="0" xfId="16" applyNumberFormat="1" applyFont="1" applyFill="1" applyAlignment="1">
      <alignment horizontal="center" vertical="center"/>
    </xf>
    <xf numFmtId="0" fontId="123" fillId="0" borderId="0" xfId="0" applyFont="1" applyFill="1" applyAlignment="1">
      <alignment horizontal="center" vertical="center" wrapText="1"/>
    </xf>
    <xf numFmtId="0" fontId="123" fillId="0" borderId="1" xfId="16" applyFont="1" applyFill="1" applyBorder="1" applyAlignment="1">
      <alignment horizontal="center" vertical="center"/>
    </xf>
    <xf numFmtId="0" fontId="15" fillId="0" borderId="2" xfId="33159" applyFont="1" applyFill="1" applyBorder="1" applyAlignment="1">
      <alignment horizontal="left" vertical="center" wrapText="1" indent="2"/>
    </xf>
    <xf numFmtId="0" fontId="15" fillId="0" borderId="5" xfId="3315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15" fillId="0" borderId="2" xfId="33159" applyFont="1" applyFill="1" applyBorder="1" applyAlignment="1">
      <alignment horizontal="left" vertical="center" wrapText="1" indent="1"/>
    </xf>
    <xf numFmtId="0" fontId="15" fillId="0" borderId="2" xfId="16" applyFont="1" applyFill="1" applyBorder="1" applyAlignment="1">
      <alignment horizontal="center" vertical="center"/>
    </xf>
    <xf numFmtId="2" fontId="15" fillId="0" borderId="2" xfId="33165" applyNumberFormat="1" applyFont="1" applyFill="1" applyBorder="1" applyAlignment="1">
      <alignment horizontal="left" vertical="center" wrapText="1" indent="1"/>
    </xf>
    <xf numFmtId="2" fontId="15" fillId="0" borderId="6" xfId="33165" applyNumberFormat="1" applyFont="1" applyFill="1" applyBorder="1" applyAlignment="1">
      <alignment horizontal="left" vertical="center" wrapText="1" indent="1"/>
    </xf>
    <xf numFmtId="2" fontId="15" fillId="0" borderId="3" xfId="33165" applyNumberFormat="1" applyFont="1" applyFill="1" applyBorder="1" applyAlignment="1">
      <alignment horizontal="left" vertical="center" wrapText="1" indent="1"/>
    </xf>
    <xf numFmtId="0" fontId="15" fillId="0" borderId="3" xfId="33159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1" fontId="15" fillId="0" borderId="2" xfId="33162" applyNumberFormat="1" applyFont="1" applyFill="1" applyBorder="1" applyAlignment="1">
      <alignment horizontal="center" vertical="center" wrapText="1"/>
    </xf>
    <xf numFmtId="0" fontId="15" fillId="0" borderId="4" xfId="33163" applyFont="1" applyFill="1" applyBorder="1" applyAlignment="1">
      <alignment horizontal="center" vertical="center" wrapText="1"/>
    </xf>
    <xf numFmtId="0" fontId="15" fillId="0" borderId="8" xfId="33163" applyFont="1" applyFill="1" applyBorder="1" applyAlignment="1">
      <alignment horizontal="center" vertical="center" wrapText="1"/>
    </xf>
    <xf numFmtId="0" fontId="15" fillId="0" borderId="31" xfId="33163" applyFont="1" applyFill="1" applyBorder="1" applyAlignment="1">
      <alignment horizontal="center" vertical="center" wrapText="1"/>
    </xf>
    <xf numFmtId="2" fontId="26" fillId="0" borderId="0" xfId="33168" applyNumberFormat="1" applyFont="1" applyFill="1" applyAlignment="1">
      <alignment horizontal="center" vertical="center" wrapTex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3" fontId="15" fillId="0" borderId="2" xfId="33185" applyNumberFormat="1" applyFont="1" applyFill="1" applyBorder="1" applyAlignment="1">
      <alignment horizontal="center" vertical="center"/>
    </xf>
    <xf numFmtId="0" fontId="15" fillId="0" borderId="2" xfId="17" applyFont="1" applyFill="1" applyBorder="1" applyAlignment="1">
      <alignment horizontal="left" vertical="center" wrapText="1" indent="1"/>
    </xf>
    <xf numFmtId="0" fontId="15" fillId="0" borderId="5" xfId="33159" applyFont="1" applyFill="1" applyBorder="1" applyAlignment="1">
      <alignment horizontal="left" vertical="center" wrapText="1" indent="1"/>
    </xf>
    <xf numFmtId="0" fontId="15" fillId="0" borderId="3" xfId="33159" applyFont="1" applyFill="1" applyBorder="1" applyAlignment="1">
      <alignment horizontal="left" vertical="center" wrapText="1" indent="1"/>
    </xf>
    <xf numFmtId="2" fontId="15" fillId="0" borderId="4" xfId="33168" applyNumberFormat="1" applyFont="1" applyFill="1" applyBorder="1" applyAlignment="1">
      <alignment horizontal="left" vertical="center" wrapText="1" indent="1"/>
    </xf>
    <xf numFmtId="2" fontId="15" fillId="0" borderId="8" xfId="33168" applyNumberFormat="1" applyFont="1" applyFill="1" applyBorder="1" applyAlignment="1">
      <alignment horizontal="left" vertical="center" wrapText="1" indent="1"/>
    </xf>
    <xf numFmtId="2" fontId="15" fillId="0" borderId="31" xfId="33168" applyNumberFormat="1" applyFont="1" applyFill="1" applyBorder="1" applyAlignment="1">
      <alignment horizontal="left" vertical="center" wrapText="1" indent="1"/>
    </xf>
    <xf numFmtId="0" fontId="15" fillId="0" borderId="2" xfId="16" applyFont="1" applyFill="1" applyBorder="1" applyAlignment="1">
      <alignment horizontal="left" vertical="center" indent="2"/>
    </xf>
    <xf numFmtId="0" fontId="26" fillId="0" borderId="0" xfId="16" applyFont="1" applyFill="1" applyAlignment="1">
      <alignment horizontal="center" vertical="center" wrapText="1"/>
    </xf>
    <xf numFmtId="0" fontId="26" fillId="0" borderId="0" xfId="16" applyFont="1" applyFill="1" applyAlignment="1">
      <alignment horizontal="center" wrapText="1"/>
    </xf>
    <xf numFmtId="0" fontId="123" fillId="0" borderId="0" xfId="33151" applyFont="1" applyFill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33151" applyFont="1" applyFill="1" applyBorder="1" applyAlignment="1">
      <alignment horizontal="center" vertical="center" wrapText="1"/>
    </xf>
    <xf numFmtId="0" fontId="15" fillId="0" borderId="3" xfId="33151" applyFont="1" applyFill="1" applyBorder="1" applyAlignment="1">
      <alignment horizontal="center" vertical="center"/>
    </xf>
    <xf numFmtId="0" fontId="122" fillId="75" borderId="0" xfId="26" applyFont="1" applyFill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21" fillId="3" borderId="4" xfId="26" applyFont="1" applyFill="1" applyBorder="1" applyAlignment="1">
      <alignment horizontal="center" vertical="center" wrapText="1"/>
    </xf>
    <xf numFmtId="0" fontId="21" fillId="3" borderId="31" xfId="26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0" fontId="122" fillId="75" borderId="0" xfId="13" applyFont="1" applyFill="1" applyBorder="1" applyAlignment="1">
      <alignment horizontal="center" vertical="center" wrapText="1"/>
    </xf>
    <xf numFmtId="0" fontId="119" fillId="0" borderId="2" xfId="0" applyFont="1" applyBorder="1" applyAlignment="1">
      <alignment horizontal="left" wrapText="1" indent="1"/>
    </xf>
    <xf numFmtId="0" fontId="119" fillId="0" borderId="2" xfId="0" applyFont="1" applyBorder="1" applyAlignment="1">
      <alignment horizontal="left" indent="1"/>
    </xf>
    <xf numFmtId="0" fontId="15" fillId="0" borderId="29" xfId="33159" applyFont="1" applyFill="1" applyBorder="1" applyAlignment="1">
      <alignment horizontal="left" vertical="center" wrapText="1" indent="1"/>
    </xf>
    <xf numFmtId="0" fontId="15" fillId="0" borderId="32" xfId="33159" applyFont="1" applyFill="1" applyBorder="1" applyAlignment="1">
      <alignment horizontal="left" vertical="center" wrapText="1" indent="1"/>
    </xf>
    <xf numFmtId="0" fontId="15" fillId="0" borderId="35" xfId="33159" applyFont="1" applyFill="1" applyBorder="1" applyAlignment="1">
      <alignment horizontal="left" vertical="center" wrapText="1" indent="1"/>
    </xf>
    <xf numFmtId="0" fontId="15" fillId="0" borderId="6" xfId="33159" applyFont="1" applyFill="1" applyBorder="1" applyAlignment="1">
      <alignment horizontal="left" vertical="center" wrapText="1" indent="1"/>
    </xf>
    <xf numFmtId="0" fontId="17" fillId="0" borderId="2" xfId="33184" applyFont="1" applyFill="1" applyBorder="1" applyAlignment="1">
      <alignment horizontal="left" vertical="center" wrapText="1" indent="1"/>
    </xf>
    <xf numFmtId="0" fontId="17" fillId="0" borderId="5" xfId="33184" applyFont="1" applyFill="1" applyBorder="1" applyAlignment="1">
      <alignment horizontal="left" vertical="center" wrapText="1" indent="1"/>
    </xf>
    <xf numFmtId="0" fontId="17" fillId="0" borderId="3" xfId="33184" applyFont="1" applyFill="1" applyBorder="1" applyAlignment="1">
      <alignment horizontal="left" vertical="center" wrapText="1" indent="1"/>
    </xf>
  </cellXfs>
  <cellStyles count="33188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61"/>
    <cellStyle name="Обычный 10 4 2 3 2 6 2 2 4 2 2 3 2 2" xfId="33173"/>
    <cellStyle name="Обычный 10 4 2 3 2 6 2 2 4 2 2 3 2 2 2" xfId="33180"/>
    <cellStyle name="Обычный 10 4 2 3 2 6 2 2 4 2 2 3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8"/>
    <cellStyle name="Обычный 10 4 5 6 2 2 4 2 2 3 2 2" xfId="33171"/>
    <cellStyle name="Обычный 10 4 5 6 2 2 4 2 2 3 2 2 2" xfId="33178"/>
    <cellStyle name="Обычный 10 4 5 6 2 2 4 2 2 3 2 2 2 2" xfId="33183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60"/>
    <cellStyle name="Обычный 10 6 2 2 2 6 2 2 4 2 2 3 2 2" xfId="33172"/>
    <cellStyle name="Обычный 10 6 2 2 2 6 2 2 4 2 2 3 2 2 2" xfId="33179"/>
    <cellStyle name="Обычный 10 6 2 2 2 6 2 2 4 2 2 3 2 2 2 2" xfId="33184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76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70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7"/>
    <cellStyle name="Обычный 7 6 2 2 2 2 3 2 2 4 2 2 3 2 2" xfId="33175"/>
    <cellStyle name="Обычный 7 6 2 2 2 2 3 2 2 4 2 2 3 2 2 2" xfId="33182"/>
    <cellStyle name="Обычный 7 6 2 2 2 2 3 2 2 4 2 2 3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69"/>
    <cellStyle name="Обычный_Прейскурант на 01.01.2007" xfId="33168"/>
    <cellStyle name="Обычный_Приложение 4 к Решению СМП" xfId="1"/>
    <cellStyle name="Обычный_Раб. мат. к  Комиссии Климов" xfId="33163"/>
    <cellStyle name="Обычный_рабочие мат-лы 31.01.2012" xfId="33164"/>
    <cellStyle name="Обычный_рабочие мат-лы 31.01.2012_1" xfId="33159"/>
    <cellStyle name="Обычный_рабочие мат-лы 31.01.2012_2" xfId="33162"/>
    <cellStyle name="Обычный_Стандарты финал 8 2" xfId="33157"/>
    <cellStyle name="Обычный_ТС на 2011 от 21.02.2011 2" xfId="33165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6"/>
    <cellStyle name="Финансовый 15 2 2 2 3 2 4 2 2 3 2 2" xfId="33174"/>
    <cellStyle name="Финансовый 15 2 2 2 3 2 4 2 2 3 2 2 2" xfId="33181"/>
    <cellStyle name="Финансовый 15 2 2 2 3 2 4 2 2 3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77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CCFF"/>
      <color rgb="FFFFFFCC"/>
      <color rgb="FFFF99F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5"/>
  <sheetViews>
    <sheetView tabSelected="1" zoomScale="90" zoomScaleNormal="90" workbookViewId="0">
      <selection activeCell="L413" sqref="L413"/>
    </sheetView>
  </sheetViews>
  <sheetFormatPr defaultRowHeight="15" x14ac:dyDescent="0.25"/>
  <cols>
    <col min="1" max="1" width="8.5703125" style="248" customWidth="1"/>
    <col min="2" max="2" width="10.28515625" style="46" customWidth="1"/>
    <col min="3" max="3" width="30" style="46" customWidth="1"/>
    <col min="4" max="4" width="32.85546875" style="56" customWidth="1"/>
    <col min="5" max="5" width="16.28515625" style="56" customWidth="1"/>
    <col min="6" max="6" width="18.42578125" style="41" customWidth="1"/>
    <col min="7" max="7" width="15.42578125" style="41" customWidth="1"/>
    <col min="8" max="8" width="15.7109375" style="41" customWidth="1"/>
    <col min="9" max="9" width="16.5703125" style="1" customWidth="1"/>
    <col min="10" max="10" width="18.140625" style="1" customWidth="1"/>
    <col min="11" max="11" width="11.42578125" style="1" customWidth="1"/>
    <col min="12" max="16384" width="9.140625" style="1"/>
  </cols>
  <sheetData>
    <row r="1" spans="1:11" ht="15.75" x14ac:dyDescent="0.25">
      <c r="A1" s="244"/>
      <c r="B1" s="38"/>
      <c r="C1" s="38"/>
      <c r="D1" s="39"/>
      <c r="E1" s="39"/>
      <c r="F1" s="40"/>
      <c r="G1" s="40"/>
      <c r="J1" s="42" t="s">
        <v>363</v>
      </c>
    </row>
    <row r="2" spans="1:11" ht="15.75" x14ac:dyDescent="0.25">
      <c r="A2" s="244"/>
      <c r="B2" s="38"/>
      <c r="C2" s="38"/>
      <c r="D2" s="39"/>
      <c r="E2" s="39"/>
      <c r="F2" s="40"/>
      <c r="G2" s="40"/>
      <c r="J2" s="43" t="s">
        <v>492</v>
      </c>
    </row>
    <row r="3" spans="1:11" ht="15.75" x14ac:dyDescent="0.25">
      <c r="A3" s="244"/>
      <c r="B3" s="38"/>
      <c r="C3" s="38"/>
      <c r="D3" s="39"/>
      <c r="E3" s="39"/>
      <c r="F3" s="40"/>
      <c r="G3" s="40"/>
      <c r="J3" s="43" t="s">
        <v>0</v>
      </c>
    </row>
    <row r="4" spans="1:11" ht="15.75" x14ac:dyDescent="0.25">
      <c r="A4" s="244"/>
      <c r="B4" s="38"/>
      <c r="C4" s="38"/>
      <c r="D4" s="39"/>
      <c r="E4" s="39"/>
      <c r="F4" s="40"/>
      <c r="G4" s="40"/>
      <c r="J4" s="43" t="s">
        <v>1</v>
      </c>
    </row>
    <row r="5" spans="1:11" x14ac:dyDescent="0.25">
      <c r="A5" s="245"/>
      <c r="B5" s="1"/>
      <c r="C5" s="1"/>
      <c r="D5" s="1"/>
      <c r="E5" s="1"/>
      <c r="F5" s="1"/>
      <c r="G5" s="1"/>
      <c r="J5" s="44" t="s">
        <v>493</v>
      </c>
    </row>
    <row r="6" spans="1:11" ht="15.75" x14ac:dyDescent="0.25">
      <c r="A6" s="244"/>
      <c r="B6" s="38"/>
      <c r="C6" s="38"/>
      <c r="D6" s="38"/>
      <c r="E6" s="38"/>
      <c r="F6" s="38"/>
      <c r="G6" s="38"/>
      <c r="H6" s="38"/>
    </row>
    <row r="7" spans="1:11" ht="48" customHeight="1" x14ac:dyDescent="0.25">
      <c r="A7" s="246"/>
      <c r="B7" s="398" t="s">
        <v>366</v>
      </c>
      <c r="C7" s="398"/>
      <c r="D7" s="398"/>
      <c r="E7" s="398"/>
      <c r="F7" s="398"/>
      <c r="G7" s="398"/>
      <c r="H7" s="398"/>
      <c r="I7" s="398"/>
      <c r="J7" s="398"/>
      <c r="K7" s="54"/>
    </row>
    <row r="8" spans="1:11" ht="11.25" customHeight="1" x14ac:dyDescent="0.25">
      <c r="A8" s="246"/>
      <c r="B8" s="45"/>
      <c r="C8" s="45"/>
      <c r="D8" s="80"/>
      <c r="E8" s="80"/>
      <c r="F8" s="80"/>
      <c r="G8" s="80"/>
      <c r="H8" s="80"/>
    </row>
    <row r="9" spans="1:11" s="46" customFormat="1" ht="22.5" customHeight="1" x14ac:dyDescent="0.25">
      <c r="A9" s="247"/>
      <c r="B9" s="410" t="s">
        <v>2</v>
      </c>
      <c r="C9" s="410" t="s">
        <v>226</v>
      </c>
      <c r="D9" s="410" t="s">
        <v>233</v>
      </c>
      <c r="E9" s="404" t="s">
        <v>463</v>
      </c>
      <c r="F9" s="404"/>
      <c r="G9" s="404"/>
      <c r="H9" s="405" t="s">
        <v>94</v>
      </c>
      <c r="I9" s="406"/>
      <c r="J9" s="407"/>
    </row>
    <row r="10" spans="1:11" s="46" customFormat="1" ht="17.25" customHeight="1" x14ac:dyDescent="0.25">
      <c r="A10" s="247"/>
      <c r="B10" s="411"/>
      <c r="C10" s="411"/>
      <c r="D10" s="411"/>
      <c r="E10" s="401" t="s">
        <v>178</v>
      </c>
      <c r="F10" s="401" t="s">
        <v>179</v>
      </c>
      <c r="G10" s="401"/>
      <c r="H10" s="402" t="s">
        <v>178</v>
      </c>
      <c r="I10" s="408" t="s">
        <v>179</v>
      </c>
      <c r="J10" s="409"/>
    </row>
    <row r="11" spans="1:11" s="46" customFormat="1" ht="36" customHeight="1" x14ac:dyDescent="0.25">
      <c r="A11" s="247"/>
      <c r="B11" s="412"/>
      <c r="C11" s="412"/>
      <c r="D11" s="412"/>
      <c r="E11" s="401"/>
      <c r="F11" s="235" t="s">
        <v>180</v>
      </c>
      <c r="G11" s="235" t="s">
        <v>181</v>
      </c>
      <c r="H11" s="403"/>
      <c r="I11" s="96" t="s">
        <v>180</v>
      </c>
      <c r="J11" s="96" t="s">
        <v>181</v>
      </c>
    </row>
    <row r="12" spans="1:11" s="46" customFormat="1" ht="19.5" customHeight="1" x14ac:dyDescent="0.25">
      <c r="A12" s="247">
        <v>61</v>
      </c>
      <c r="B12" s="102">
        <v>61</v>
      </c>
      <c r="C12" s="399" t="s">
        <v>110</v>
      </c>
      <c r="D12" s="400"/>
      <c r="E12" s="115"/>
      <c r="F12" s="115"/>
      <c r="G12" s="115"/>
      <c r="H12" s="122"/>
      <c r="I12" s="122"/>
      <c r="J12" s="122"/>
      <c r="K12" s="53"/>
    </row>
    <row r="13" spans="1:11" s="46" customFormat="1" ht="93.75" customHeight="1" x14ac:dyDescent="0.25">
      <c r="A13" s="248">
        <v>61</v>
      </c>
      <c r="B13" s="104"/>
      <c r="C13" s="105"/>
      <c r="D13" s="108" t="s">
        <v>469</v>
      </c>
      <c r="E13" s="115">
        <f t="shared" ref="E13:E18" si="0">F13+G13</f>
        <v>77</v>
      </c>
      <c r="F13" s="115">
        <v>77</v>
      </c>
      <c r="G13" s="115"/>
      <c r="H13" s="122">
        <f>I13+J13</f>
        <v>3017.7</v>
      </c>
      <c r="I13" s="122">
        <v>3017.7</v>
      </c>
      <c r="J13" s="122"/>
      <c r="K13" s="53"/>
    </row>
    <row r="14" spans="1:11" s="46" customFormat="1" ht="15.75" x14ac:dyDescent="0.25">
      <c r="A14" s="248">
        <v>61</v>
      </c>
      <c r="B14" s="104"/>
      <c r="C14" s="105"/>
      <c r="D14" s="106" t="s">
        <v>6</v>
      </c>
      <c r="E14" s="115">
        <f t="shared" si="0"/>
        <v>186</v>
      </c>
      <c r="F14" s="115">
        <v>186</v>
      </c>
      <c r="G14" s="115"/>
      <c r="H14" s="122">
        <f t="shared" ref="H14:H18" si="1">I14+J14</f>
        <v>9502.2999999999993</v>
      </c>
      <c r="I14" s="122">
        <v>9502.2999999999993</v>
      </c>
      <c r="J14" s="122"/>
      <c r="K14" s="53"/>
    </row>
    <row r="15" spans="1:11" s="46" customFormat="1" ht="15.75" x14ac:dyDescent="0.25">
      <c r="A15" s="248">
        <v>61</v>
      </c>
      <c r="B15" s="104"/>
      <c r="C15" s="105"/>
      <c r="D15" s="106" t="s">
        <v>7</v>
      </c>
      <c r="E15" s="115">
        <f t="shared" si="0"/>
        <v>318</v>
      </c>
      <c r="F15" s="115">
        <v>318</v>
      </c>
      <c r="G15" s="115"/>
      <c r="H15" s="122">
        <f t="shared" si="1"/>
        <v>17348.2</v>
      </c>
      <c r="I15" s="122">
        <v>17348.2</v>
      </c>
      <c r="J15" s="122"/>
      <c r="K15" s="53"/>
    </row>
    <row r="16" spans="1:11" s="46" customFormat="1" ht="15.75" x14ac:dyDescent="0.25">
      <c r="A16" s="248">
        <v>61</v>
      </c>
      <c r="B16" s="104"/>
      <c r="C16" s="105"/>
      <c r="D16" s="106" t="s">
        <v>8</v>
      </c>
      <c r="E16" s="115">
        <f t="shared" si="0"/>
        <v>604</v>
      </c>
      <c r="F16" s="115">
        <f>725-121</f>
        <v>604</v>
      </c>
      <c r="G16" s="115"/>
      <c r="H16" s="122">
        <f t="shared" si="1"/>
        <v>39840.300000000003</v>
      </c>
      <c r="I16" s="122">
        <v>39840.300000000003</v>
      </c>
      <c r="J16" s="122"/>
      <c r="K16" s="53"/>
    </row>
    <row r="17" spans="1:11" s="46" customFormat="1" ht="15.75" x14ac:dyDescent="0.25">
      <c r="A17" s="248">
        <v>61</v>
      </c>
      <c r="B17" s="104"/>
      <c r="C17" s="107"/>
      <c r="D17" s="106" t="s">
        <v>4</v>
      </c>
      <c r="E17" s="115">
        <f t="shared" si="0"/>
        <v>266</v>
      </c>
      <c r="F17" s="115">
        <v>266</v>
      </c>
      <c r="G17" s="115"/>
      <c r="H17" s="122">
        <f t="shared" si="1"/>
        <v>11950.5</v>
      </c>
      <c r="I17" s="122">
        <v>11950.5</v>
      </c>
      <c r="J17" s="122"/>
      <c r="K17" s="53"/>
    </row>
    <row r="18" spans="1:11" s="46" customFormat="1" ht="15.75" x14ac:dyDescent="0.25">
      <c r="A18" s="248">
        <v>61</v>
      </c>
      <c r="B18" s="104"/>
      <c r="C18" s="107"/>
      <c r="D18" s="106" t="s">
        <v>5</v>
      </c>
      <c r="E18" s="115">
        <f t="shared" si="0"/>
        <v>45</v>
      </c>
      <c r="F18" s="115">
        <v>45</v>
      </c>
      <c r="G18" s="115"/>
      <c r="H18" s="122">
        <f t="shared" si="1"/>
        <v>3174.3</v>
      </c>
      <c r="I18" s="122">
        <v>3174.3</v>
      </c>
      <c r="J18" s="122"/>
      <c r="K18" s="53"/>
    </row>
    <row r="19" spans="1:11" s="46" customFormat="1" ht="15.75" x14ac:dyDescent="0.25">
      <c r="A19" s="248">
        <v>61</v>
      </c>
      <c r="B19" s="104"/>
      <c r="C19" s="126"/>
      <c r="D19" s="127" t="s">
        <v>183</v>
      </c>
      <c r="E19" s="128">
        <f>ROUND(E13+E14+E15+E16+E17+E18,1)</f>
        <v>1496</v>
      </c>
      <c r="F19" s="128">
        <f>ROUND(F13+F14+F15+F16+F17+F18,1)</f>
        <v>1496</v>
      </c>
      <c r="G19" s="129">
        <f t="shared" ref="G19:J19" si="2">ROUND(G13+G14+G15+G16+G17+G18,1)</f>
        <v>0</v>
      </c>
      <c r="H19" s="129">
        <f t="shared" si="2"/>
        <v>84833.3</v>
      </c>
      <c r="I19" s="129">
        <f t="shared" si="2"/>
        <v>84833.3</v>
      </c>
      <c r="J19" s="129">
        <f t="shared" si="2"/>
        <v>0</v>
      </c>
      <c r="K19" s="53"/>
    </row>
    <row r="20" spans="1:11" s="46" customFormat="1" ht="19.5" customHeight="1" x14ac:dyDescent="0.25">
      <c r="A20" s="248">
        <v>59</v>
      </c>
      <c r="B20" s="104">
        <v>59</v>
      </c>
      <c r="C20" s="399" t="s">
        <v>29</v>
      </c>
      <c r="D20" s="400"/>
      <c r="E20" s="115"/>
      <c r="F20" s="115"/>
      <c r="G20" s="117"/>
      <c r="H20" s="122"/>
      <c r="I20" s="122"/>
      <c r="J20" s="122"/>
      <c r="K20" s="53"/>
    </row>
    <row r="21" spans="1:11" s="46" customFormat="1" ht="90" x14ac:dyDescent="0.25">
      <c r="A21" s="248">
        <v>59</v>
      </c>
      <c r="B21" s="104"/>
      <c r="C21" s="105"/>
      <c r="D21" s="108" t="s">
        <v>469</v>
      </c>
      <c r="E21" s="115">
        <f t="shared" ref="E21:E33" si="3">F21+G21</f>
        <v>1207</v>
      </c>
      <c r="F21" s="115">
        <v>1207</v>
      </c>
      <c r="G21" s="117"/>
      <c r="H21" s="122">
        <f t="shared" ref="H21:H33" si="4">I21+J21</f>
        <v>37644.1</v>
      </c>
      <c r="I21" s="122">
        <f>52644.1-15000</f>
        <v>37644.1</v>
      </c>
      <c r="J21" s="122"/>
      <c r="K21" s="53"/>
    </row>
    <row r="22" spans="1:11" s="46" customFormat="1" ht="30" x14ac:dyDescent="0.25">
      <c r="A22" s="248">
        <v>59</v>
      </c>
      <c r="B22" s="104"/>
      <c r="C22" s="105"/>
      <c r="D22" s="113" t="s">
        <v>182</v>
      </c>
      <c r="E22" s="115">
        <f t="shared" si="3"/>
        <v>247</v>
      </c>
      <c r="F22" s="115">
        <v>247</v>
      </c>
      <c r="G22" s="117"/>
      <c r="H22" s="122">
        <f t="shared" si="4"/>
        <v>13729.3</v>
      </c>
      <c r="I22" s="122">
        <v>13729.3</v>
      </c>
      <c r="J22" s="122"/>
      <c r="K22" s="53"/>
    </row>
    <row r="23" spans="1:11" s="46" customFormat="1" ht="30" x14ac:dyDescent="0.25">
      <c r="A23" s="248">
        <v>59</v>
      </c>
      <c r="B23" s="104"/>
      <c r="C23" s="105"/>
      <c r="D23" s="113" t="s">
        <v>364</v>
      </c>
      <c r="E23" s="115">
        <f t="shared" si="3"/>
        <v>291</v>
      </c>
      <c r="F23" s="115">
        <v>291</v>
      </c>
      <c r="G23" s="117"/>
      <c r="H23" s="122">
        <f t="shared" si="4"/>
        <v>29870.1</v>
      </c>
      <c r="I23" s="122">
        <v>29870.1</v>
      </c>
      <c r="J23" s="122"/>
      <c r="K23" s="53"/>
    </row>
    <row r="24" spans="1:11" s="46" customFormat="1" ht="15.75" x14ac:dyDescent="0.25">
      <c r="A24" s="248">
        <v>59</v>
      </c>
      <c r="B24" s="104"/>
      <c r="C24" s="105"/>
      <c r="D24" s="106" t="s">
        <v>6</v>
      </c>
      <c r="E24" s="115">
        <f t="shared" si="3"/>
        <v>507</v>
      </c>
      <c r="F24" s="115">
        <v>507</v>
      </c>
      <c r="G24" s="117"/>
      <c r="H24" s="122">
        <f t="shared" si="4"/>
        <v>32388.400000000001</v>
      </c>
      <c r="I24" s="122">
        <v>32388.400000000001</v>
      </c>
      <c r="J24" s="122"/>
      <c r="K24" s="53"/>
    </row>
    <row r="25" spans="1:11" s="46" customFormat="1" ht="15.75" x14ac:dyDescent="0.25">
      <c r="A25" s="248">
        <v>59</v>
      </c>
      <c r="B25" s="104"/>
      <c r="C25" s="105"/>
      <c r="D25" s="106" t="s">
        <v>16</v>
      </c>
      <c r="E25" s="115">
        <f t="shared" si="3"/>
        <v>768</v>
      </c>
      <c r="F25" s="115">
        <v>768</v>
      </c>
      <c r="G25" s="117"/>
      <c r="H25" s="122">
        <f t="shared" si="4"/>
        <v>34943.199999999997</v>
      </c>
      <c r="I25" s="122">
        <v>34943.199999999997</v>
      </c>
      <c r="J25" s="122"/>
      <c r="K25" s="53"/>
    </row>
    <row r="26" spans="1:11" s="46" customFormat="1" ht="15.75" x14ac:dyDescent="0.25">
      <c r="A26" s="248">
        <v>59</v>
      </c>
      <c r="B26" s="104"/>
      <c r="C26" s="105"/>
      <c r="D26" s="106" t="s">
        <v>9</v>
      </c>
      <c r="E26" s="115">
        <f t="shared" si="3"/>
        <v>633</v>
      </c>
      <c r="F26" s="115">
        <v>633</v>
      </c>
      <c r="G26" s="117"/>
      <c r="H26" s="122">
        <f t="shared" si="4"/>
        <v>69730.600000000006</v>
      </c>
      <c r="I26" s="122">
        <v>69730.600000000006</v>
      </c>
      <c r="J26" s="122"/>
      <c r="K26" s="53"/>
    </row>
    <row r="27" spans="1:11" s="46" customFormat="1" ht="15.75" x14ac:dyDescent="0.25">
      <c r="A27" s="248">
        <v>59</v>
      </c>
      <c r="B27" s="104"/>
      <c r="C27" s="105"/>
      <c r="D27" s="106" t="s">
        <v>184</v>
      </c>
      <c r="E27" s="115">
        <f t="shared" si="3"/>
        <v>69</v>
      </c>
      <c r="F27" s="115">
        <v>69</v>
      </c>
      <c r="G27" s="117"/>
      <c r="H27" s="122">
        <f t="shared" si="4"/>
        <v>5751.1</v>
      </c>
      <c r="I27" s="122">
        <v>5751.1</v>
      </c>
      <c r="J27" s="122"/>
      <c r="K27" s="53"/>
    </row>
    <row r="28" spans="1:11" s="46" customFormat="1" ht="15.75" x14ac:dyDescent="0.25">
      <c r="A28" s="248">
        <v>59</v>
      </c>
      <c r="B28" s="104"/>
      <c r="C28" s="105"/>
      <c r="D28" s="106" t="s">
        <v>7</v>
      </c>
      <c r="E28" s="115">
        <f t="shared" si="3"/>
        <v>328</v>
      </c>
      <c r="F28" s="115">
        <v>328</v>
      </c>
      <c r="G28" s="117"/>
      <c r="H28" s="122">
        <f t="shared" si="4"/>
        <v>18266.599999999999</v>
      </c>
      <c r="I28" s="122">
        <v>18266.599999999999</v>
      </c>
      <c r="J28" s="122"/>
      <c r="K28" s="53"/>
    </row>
    <row r="29" spans="1:11" s="46" customFormat="1" ht="15.75" x14ac:dyDescent="0.25">
      <c r="A29" s="248">
        <v>59</v>
      </c>
      <c r="B29" s="104"/>
      <c r="C29" s="105"/>
      <c r="D29" s="106" t="s">
        <v>8</v>
      </c>
      <c r="E29" s="115">
        <f t="shared" si="3"/>
        <v>1321</v>
      </c>
      <c r="F29" s="115">
        <v>1321</v>
      </c>
      <c r="G29" s="117"/>
      <c r="H29" s="122">
        <f t="shared" si="4"/>
        <v>52240</v>
      </c>
      <c r="I29" s="122">
        <f>71465.8-4225.8-15000</f>
        <v>52240</v>
      </c>
      <c r="J29" s="122"/>
      <c r="K29" s="53"/>
    </row>
    <row r="30" spans="1:11" s="46" customFormat="1" ht="15.75" x14ac:dyDescent="0.25">
      <c r="A30" s="248">
        <v>59</v>
      </c>
      <c r="B30" s="104"/>
      <c r="C30" s="105"/>
      <c r="D30" s="106" t="s">
        <v>5</v>
      </c>
      <c r="E30" s="115">
        <f t="shared" si="3"/>
        <v>262</v>
      </c>
      <c r="F30" s="115">
        <v>262</v>
      </c>
      <c r="G30" s="117"/>
      <c r="H30" s="122">
        <f t="shared" si="4"/>
        <v>3979.4000000000015</v>
      </c>
      <c r="I30" s="122">
        <f>20568.9-16589.5</f>
        <v>3979.4000000000015</v>
      </c>
      <c r="J30" s="122"/>
      <c r="K30" s="53"/>
    </row>
    <row r="31" spans="1:11" s="46" customFormat="1" ht="15.75" x14ac:dyDescent="0.25">
      <c r="A31" s="248">
        <v>59</v>
      </c>
      <c r="B31" s="104"/>
      <c r="C31" s="105"/>
      <c r="D31" s="106" t="s">
        <v>13</v>
      </c>
      <c r="E31" s="115">
        <f t="shared" si="3"/>
        <v>279</v>
      </c>
      <c r="F31" s="115">
        <v>279</v>
      </c>
      <c r="G31" s="117"/>
      <c r="H31" s="122">
        <f t="shared" si="4"/>
        <v>6125.4000000000015</v>
      </c>
      <c r="I31" s="122">
        <f>21125.4-15000</f>
        <v>6125.4000000000015</v>
      </c>
      <c r="J31" s="122"/>
      <c r="K31" s="53"/>
    </row>
    <row r="32" spans="1:11" s="46" customFormat="1" ht="19.5" customHeight="1" x14ac:dyDescent="0.25">
      <c r="A32" s="248">
        <v>59</v>
      </c>
      <c r="B32" s="104"/>
      <c r="C32" s="105"/>
      <c r="D32" s="106" t="s">
        <v>4</v>
      </c>
      <c r="E32" s="115">
        <f t="shared" si="3"/>
        <v>626</v>
      </c>
      <c r="F32" s="115">
        <v>626</v>
      </c>
      <c r="G32" s="117"/>
      <c r="H32" s="122">
        <f t="shared" si="4"/>
        <v>32356.3</v>
      </c>
      <c r="I32" s="122">
        <v>32356.3</v>
      </c>
      <c r="J32" s="122"/>
      <c r="K32" s="53"/>
    </row>
    <row r="33" spans="1:11" s="46" customFormat="1" ht="15.75" x14ac:dyDescent="0.25">
      <c r="A33" s="248">
        <v>59</v>
      </c>
      <c r="B33" s="104"/>
      <c r="C33" s="105"/>
      <c r="D33" s="106" t="s">
        <v>196</v>
      </c>
      <c r="E33" s="115">
        <f t="shared" si="3"/>
        <v>240</v>
      </c>
      <c r="F33" s="115">
        <v>240</v>
      </c>
      <c r="G33" s="117"/>
      <c r="H33" s="122">
        <f t="shared" si="4"/>
        <v>32255.8</v>
      </c>
      <c r="I33" s="122">
        <f>28030+4225.8</f>
        <v>32255.8</v>
      </c>
      <c r="J33" s="122"/>
      <c r="K33" s="53"/>
    </row>
    <row r="34" spans="1:11" s="46" customFormat="1" ht="15.75" x14ac:dyDescent="0.25">
      <c r="A34" s="248">
        <v>59</v>
      </c>
      <c r="B34" s="104"/>
      <c r="C34" s="126"/>
      <c r="D34" s="127" t="s">
        <v>183</v>
      </c>
      <c r="E34" s="128">
        <f>ROUND(E20+E21+E24+E25+E26+E27+E28+E29+E30+E31+E32+E33,0)</f>
        <v>6240</v>
      </c>
      <c r="F34" s="128">
        <f>ROUND(F20+F21+F24+F25+F26+F27+F28+F29+F30+F31+F32+F33,0)</f>
        <v>6240</v>
      </c>
      <c r="G34" s="128">
        <f>ROUND(G20+G21+G24+G25+G26+G27+G28+G29+G30+G31+G32+G33,0)</f>
        <v>0</v>
      </c>
      <c r="H34" s="129">
        <f t="shared" ref="H34:J34" si="5">H20+H21+H24+H25+H26+H27+H28+H29+H30+H31+H32+H33</f>
        <v>325680.89999999997</v>
      </c>
      <c r="I34" s="129">
        <f t="shared" si="5"/>
        <v>325680.89999999997</v>
      </c>
      <c r="J34" s="129">
        <f t="shared" si="5"/>
        <v>0</v>
      </c>
      <c r="K34" s="53"/>
    </row>
    <row r="35" spans="1:11" s="46" customFormat="1" ht="22.5" customHeight="1" x14ac:dyDescent="0.25">
      <c r="A35" s="248">
        <v>63</v>
      </c>
      <c r="B35" s="104">
        <v>63</v>
      </c>
      <c r="C35" s="399" t="s">
        <v>30</v>
      </c>
      <c r="D35" s="400"/>
      <c r="E35" s="115"/>
      <c r="F35" s="115"/>
      <c r="G35" s="117"/>
      <c r="H35" s="122"/>
      <c r="I35" s="122"/>
      <c r="J35" s="122"/>
      <c r="K35" s="53"/>
    </row>
    <row r="36" spans="1:11" s="46" customFormat="1" ht="15.75" x14ac:dyDescent="0.25">
      <c r="A36" s="248">
        <v>63</v>
      </c>
      <c r="B36" s="104"/>
      <c r="C36" s="105"/>
      <c r="D36" s="106" t="s">
        <v>7</v>
      </c>
      <c r="E36" s="115">
        <f t="shared" ref="E36:E38" si="6">F36+G36</f>
        <v>356</v>
      </c>
      <c r="F36" s="115">
        <v>356</v>
      </c>
      <c r="G36" s="117"/>
      <c r="H36" s="122">
        <f t="shared" ref="H36:H38" si="7">I36+J36</f>
        <v>29658.799999999999</v>
      </c>
      <c r="I36" s="122">
        <v>29658.799999999999</v>
      </c>
      <c r="J36" s="122"/>
      <c r="K36" s="53"/>
    </row>
    <row r="37" spans="1:11" s="46" customFormat="1" ht="15.75" x14ac:dyDescent="0.25">
      <c r="A37" s="248">
        <v>63</v>
      </c>
      <c r="B37" s="104"/>
      <c r="C37" s="105"/>
      <c r="D37" s="106" t="s">
        <v>8</v>
      </c>
      <c r="E37" s="115">
        <f t="shared" si="6"/>
        <v>995</v>
      </c>
      <c r="F37" s="115">
        <v>995</v>
      </c>
      <c r="G37" s="117"/>
      <c r="H37" s="122">
        <f t="shared" si="7"/>
        <v>81911.100000000006</v>
      </c>
      <c r="I37" s="122">
        <v>81911.100000000006</v>
      </c>
      <c r="J37" s="122"/>
      <c r="K37" s="53"/>
    </row>
    <row r="38" spans="1:11" s="46" customFormat="1" ht="19.5" customHeight="1" x14ac:dyDescent="0.25">
      <c r="A38" s="248">
        <v>63</v>
      </c>
      <c r="B38" s="104"/>
      <c r="C38" s="105"/>
      <c r="D38" s="106" t="s">
        <v>4</v>
      </c>
      <c r="E38" s="115">
        <f t="shared" si="6"/>
        <v>690</v>
      </c>
      <c r="F38" s="115">
        <v>690</v>
      </c>
      <c r="G38" s="117"/>
      <c r="H38" s="122">
        <f t="shared" si="7"/>
        <v>48493.1</v>
      </c>
      <c r="I38" s="122">
        <v>48493.1</v>
      </c>
      <c r="J38" s="122"/>
      <c r="K38" s="53"/>
    </row>
    <row r="39" spans="1:11" s="46" customFormat="1" ht="15.75" x14ac:dyDescent="0.25">
      <c r="A39" s="248">
        <v>63</v>
      </c>
      <c r="B39" s="104"/>
      <c r="C39" s="130"/>
      <c r="D39" s="127" t="s">
        <v>183</v>
      </c>
      <c r="E39" s="128">
        <f>ROUND(E35+E36+E37+E38,0)</f>
        <v>2041</v>
      </c>
      <c r="F39" s="128">
        <f>ROUND(F35+F36+F37+F38,0)</f>
        <v>2041</v>
      </c>
      <c r="G39" s="128">
        <f>ROUND(G35+G36+G37+G38,0)</f>
        <v>0</v>
      </c>
      <c r="H39" s="129">
        <f>ROUND(H35+H36+H37+H38,1)</f>
        <v>160063</v>
      </c>
      <c r="I39" s="129">
        <f>ROUND(I35+I36+I37+I38,1)</f>
        <v>160063</v>
      </c>
      <c r="J39" s="129">
        <f>ROUND(J35+J36+J37+J38,1)</f>
        <v>0</v>
      </c>
      <c r="K39" s="53"/>
    </row>
    <row r="40" spans="1:11" s="46" customFormat="1" ht="20.25" customHeight="1" x14ac:dyDescent="0.25">
      <c r="A40" s="248"/>
      <c r="B40" s="104">
        <v>231</v>
      </c>
      <c r="C40" s="399" t="s">
        <v>54</v>
      </c>
      <c r="D40" s="400"/>
      <c r="E40" s="116"/>
      <c r="F40" s="116"/>
      <c r="G40" s="116"/>
      <c r="H40" s="121"/>
      <c r="I40" s="121"/>
      <c r="J40" s="121"/>
      <c r="K40" s="53"/>
    </row>
    <row r="41" spans="1:11" s="46" customFormat="1" ht="15.75" x14ac:dyDescent="0.25">
      <c r="A41" s="248">
        <v>231</v>
      </c>
      <c r="B41" s="104"/>
      <c r="C41" s="125"/>
      <c r="D41" s="95" t="s">
        <v>186</v>
      </c>
      <c r="E41" s="115">
        <f t="shared" ref="E41" si="8">F41+G41</f>
        <v>85</v>
      </c>
      <c r="F41" s="115">
        <v>85</v>
      </c>
      <c r="G41" s="117"/>
      <c r="H41" s="122">
        <f t="shared" ref="H41" si="9">I41+J41</f>
        <v>6274</v>
      </c>
      <c r="I41" s="122">
        <v>6274</v>
      </c>
      <c r="J41" s="122"/>
      <c r="K41" s="53"/>
    </row>
    <row r="42" spans="1:11" s="46" customFormat="1" ht="15.75" x14ac:dyDescent="0.25">
      <c r="A42" s="248">
        <v>231</v>
      </c>
      <c r="B42" s="104"/>
      <c r="C42" s="131"/>
      <c r="D42" s="132" t="s">
        <v>183</v>
      </c>
      <c r="E42" s="128">
        <f>E41</f>
        <v>85</v>
      </c>
      <c r="F42" s="128">
        <f t="shared" ref="F42:J42" si="10">F41</f>
        <v>85</v>
      </c>
      <c r="G42" s="128">
        <f t="shared" si="10"/>
        <v>0</v>
      </c>
      <c r="H42" s="129">
        <f t="shared" si="10"/>
        <v>6274</v>
      </c>
      <c r="I42" s="129">
        <f t="shared" si="10"/>
        <v>6274</v>
      </c>
      <c r="J42" s="129">
        <f t="shared" si="10"/>
        <v>0</v>
      </c>
      <c r="K42" s="53"/>
    </row>
    <row r="43" spans="1:11" s="46" customFormat="1" ht="20.25" customHeight="1" x14ac:dyDescent="0.25">
      <c r="A43" s="248"/>
      <c r="B43" s="104">
        <v>29</v>
      </c>
      <c r="C43" s="399" t="s">
        <v>185</v>
      </c>
      <c r="D43" s="400"/>
      <c r="E43" s="116"/>
      <c r="F43" s="116"/>
      <c r="G43" s="116"/>
      <c r="H43" s="121"/>
      <c r="I43" s="121"/>
      <c r="J43" s="121"/>
      <c r="K43" s="53"/>
    </row>
    <row r="44" spans="1:11" s="46" customFormat="1" ht="15.75" x14ac:dyDescent="0.25">
      <c r="A44" s="248">
        <v>29</v>
      </c>
      <c r="B44" s="104"/>
      <c r="C44" s="125"/>
      <c r="D44" s="95" t="s">
        <v>186</v>
      </c>
      <c r="E44" s="115">
        <f t="shared" ref="E44:E45" si="11">F44+G44</f>
        <v>1312</v>
      </c>
      <c r="F44" s="115">
        <v>1312</v>
      </c>
      <c r="G44" s="117"/>
      <c r="H44" s="122">
        <f t="shared" ref="H44:H45" si="12">I44+J44</f>
        <v>87615</v>
      </c>
      <c r="I44" s="122">
        <f>86543.9+1071.1</f>
        <v>87615</v>
      </c>
      <c r="J44" s="122"/>
      <c r="K44" s="53"/>
    </row>
    <row r="45" spans="1:11" s="46" customFormat="1" ht="15.75" x14ac:dyDescent="0.25">
      <c r="A45" s="248">
        <v>29</v>
      </c>
      <c r="B45" s="104"/>
      <c r="C45" s="124"/>
      <c r="D45" s="95" t="s">
        <v>9</v>
      </c>
      <c r="E45" s="115">
        <f t="shared" si="11"/>
        <v>492</v>
      </c>
      <c r="F45" s="115">
        <v>492</v>
      </c>
      <c r="G45" s="117"/>
      <c r="H45" s="122">
        <f t="shared" si="12"/>
        <v>17400.400000000001</v>
      </c>
      <c r="I45" s="122">
        <f>17187.4+213</f>
        <v>17400.400000000001</v>
      </c>
      <c r="J45" s="122"/>
      <c r="K45" s="53"/>
    </row>
    <row r="46" spans="1:11" s="46" customFormat="1" ht="15.75" x14ac:dyDescent="0.25">
      <c r="A46" s="248">
        <v>29</v>
      </c>
      <c r="B46" s="104"/>
      <c r="C46" s="131"/>
      <c r="D46" s="132" t="s">
        <v>183</v>
      </c>
      <c r="E46" s="128">
        <f>ROUND(E44+E45,0)</f>
        <v>1804</v>
      </c>
      <c r="F46" s="128">
        <f>ROUND(F44+F45,0)</f>
        <v>1804</v>
      </c>
      <c r="G46" s="128">
        <f>ROUND(G44+G45,0)</f>
        <v>0</v>
      </c>
      <c r="H46" s="129">
        <f t="shared" ref="H46:J46" si="13">ROUND(H44+H45,1)</f>
        <v>105015.4</v>
      </c>
      <c r="I46" s="129">
        <f t="shared" si="13"/>
        <v>105015.4</v>
      </c>
      <c r="J46" s="129">
        <f t="shared" si="13"/>
        <v>0</v>
      </c>
      <c r="K46" s="53"/>
    </row>
    <row r="47" spans="1:11" s="46" customFormat="1" ht="15.75" x14ac:dyDescent="0.25">
      <c r="A47" s="248">
        <v>139</v>
      </c>
      <c r="B47" s="104">
        <v>139</v>
      </c>
      <c r="C47" s="399" t="s">
        <v>187</v>
      </c>
      <c r="D47" s="400"/>
      <c r="E47" s="115"/>
      <c r="F47" s="115"/>
      <c r="G47" s="117"/>
      <c r="H47" s="122"/>
      <c r="I47" s="122"/>
      <c r="J47" s="122"/>
      <c r="K47" s="53"/>
    </row>
    <row r="48" spans="1:11" s="46" customFormat="1" ht="15.75" x14ac:dyDescent="0.25">
      <c r="A48" s="248">
        <v>139</v>
      </c>
      <c r="B48" s="104"/>
      <c r="C48" s="105"/>
      <c r="D48" s="106" t="s">
        <v>188</v>
      </c>
      <c r="E48" s="115">
        <f t="shared" ref="E48:E53" si="14">F48+G48</f>
        <v>1030</v>
      </c>
      <c r="F48" s="115">
        <v>1030</v>
      </c>
      <c r="G48" s="117"/>
      <c r="H48" s="122">
        <f t="shared" ref="H48:H53" si="15">I48+J48</f>
        <v>65565.100000000006</v>
      </c>
      <c r="I48" s="122">
        <v>65565.100000000006</v>
      </c>
      <c r="J48" s="122"/>
      <c r="K48" s="53"/>
    </row>
    <row r="49" spans="1:11" s="46" customFormat="1" ht="15.75" x14ac:dyDescent="0.25">
      <c r="A49" s="248">
        <v>139</v>
      </c>
      <c r="B49" s="104"/>
      <c r="C49" s="105"/>
      <c r="D49" s="106" t="s">
        <v>57</v>
      </c>
      <c r="E49" s="115">
        <f t="shared" si="14"/>
        <v>2465</v>
      </c>
      <c r="F49" s="115">
        <v>2465</v>
      </c>
      <c r="G49" s="117"/>
      <c r="H49" s="122">
        <f t="shared" si="15"/>
        <v>108897.2</v>
      </c>
      <c r="I49" s="122">
        <v>108897.2</v>
      </c>
      <c r="J49" s="122"/>
      <c r="K49" s="53"/>
    </row>
    <row r="50" spans="1:11" s="46" customFormat="1" ht="15.75" x14ac:dyDescent="0.25">
      <c r="A50" s="248">
        <v>139</v>
      </c>
      <c r="B50" s="104"/>
      <c r="C50" s="105"/>
      <c r="D50" s="106" t="s">
        <v>189</v>
      </c>
      <c r="E50" s="115">
        <f t="shared" si="14"/>
        <v>1320</v>
      </c>
      <c r="F50" s="115">
        <v>1320</v>
      </c>
      <c r="G50" s="117"/>
      <c r="H50" s="122">
        <f t="shared" si="15"/>
        <v>54842.9</v>
      </c>
      <c r="I50" s="122">
        <v>54842.9</v>
      </c>
      <c r="J50" s="122"/>
      <c r="K50" s="53"/>
    </row>
    <row r="51" spans="1:11" s="46" customFormat="1" ht="45" x14ac:dyDescent="0.25">
      <c r="A51" s="248">
        <v>139</v>
      </c>
      <c r="B51" s="104"/>
      <c r="C51" s="105"/>
      <c r="D51" s="106" t="s">
        <v>10</v>
      </c>
      <c r="E51" s="115">
        <f t="shared" si="14"/>
        <v>1295</v>
      </c>
      <c r="F51" s="115">
        <v>1295</v>
      </c>
      <c r="G51" s="117"/>
      <c r="H51" s="122">
        <f t="shared" si="15"/>
        <v>60216.9</v>
      </c>
      <c r="I51" s="122">
        <v>60216.9</v>
      </c>
      <c r="J51" s="122"/>
      <c r="K51" s="53"/>
    </row>
    <row r="52" spans="1:11" s="46" customFormat="1" ht="15.75" x14ac:dyDescent="0.25">
      <c r="A52" s="248">
        <v>139</v>
      </c>
      <c r="B52" s="104"/>
      <c r="C52" s="105"/>
      <c r="D52" s="106" t="s">
        <v>5</v>
      </c>
      <c r="E52" s="115">
        <f t="shared" si="14"/>
        <v>1400</v>
      </c>
      <c r="F52" s="115">
        <v>1400</v>
      </c>
      <c r="G52" s="117"/>
      <c r="H52" s="122">
        <f t="shared" si="15"/>
        <v>83064.600000000006</v>
      </c>
      <c r="I52" s="122">
        <v>83064.600000000006</v>
      </c>
      <c r="J52" s="122"/>
      <c r="K52" s="53"/>
    </row>
    <row r="53" spans="1:11" s="46" customFormat="1" ht="15.75" x14ac:dyDescent="0.25">
      <c r="A53" s="248">
        <v>139</v>
      </c>
      <c r="B53" s="104"/>
      <c r="C53" s="105"/>
      <c r="D53" s="106" t="s">
        <v>190</v>
      </c>
      <c r="E53" s="115">
        <f t="shared" si="14"/>
        <v>190</v>
      </c>
      <c r="F53" s="115">
        <v>190</v>
      </c>
      <c r="G53" s="117"/>
      <c r="H53" s="122">
        <f t="shared" si="15"/>
        <v>22041.3</v>
      </c>
      <c r="I53" s="122">
        <v>22041.3</v>
      </c>
      <c r="J53" s="122"/>
      <c r="K53" s="53"/>
    </row>
    <row r="54" spans="1:11" s="46" customFormat="1" ht="15.75" x14ac:dyDescent="0.25">
      <c r="A54" s="248">
        <v>139</v>
      </c>
      <c r="B54" s="104"/>
      <c r="C54" s="126"/>
      <c r="D54" s="145" t="s">
        <v>183</v>
      </c>
      <c r="E54" s="128">
        <f>ROUND(E47+E48+E49+E50+E51+E52+E53,0)</f>
        <v>7700</v>
      </c>
      <c r="F54" s="128">
        <f>ROUND(F47+F48+F49+F50+F51+F52+F53,0)</f>
        <v>7700</v>
      </c>
      <c r="G54" s="128">
        <f>ROUND(G47+G48+G49+G50+G51+G52+G53,0)</f>
        <v>0</v>
      </c>
      <c r="H54" s="129">
        <f t="shared" ref="H54:J54" si="16">ROUND(H47+H48+H49+H50+H51+H52+H53,1)</f>
        <v>394628</v>
      </c>
      <c r="I54" s="129">
        <f t="shared" si="16"/>
        <v>394628</v>
      </c>
      <c r="J54" s="129">
        <f t="shared" si="16"/>
        <v>0</v>
      </c>
      <c r="K54" s="53"/>
    </row>
    <row r="55" spans="1:11" s="46" customFormat="1" ht="15.75" x14ac:dyDescent="0.25">
      <c r="A55" s="248"/>
      <c r="B55" s="110">
        <v>28</v>
      </c>
      <c r="C55" s="399" t="s">
        <v>11</v>
      </c>
      <c r="D55" s="400"/>
      <c r="E55" s="144"/>
      <c r="F55" s="116"/>
      <c r="G55" s="116"/>
      <c r="H55" s="121"/>
      <c r="I55" s="121"/>
      <c r="J55" s="121"/>
      <c r="K55" s="53"/>
    </row>
    <row r="56" spans="1:11" s="46" customFormat="1" ht="15.75" x14ac:dyDescent="0.25">
      <c r="A56" s="248">
        <v>28</v>
      </c>
      <c r="B56" s="110"/>
      <c r="C56" s="107"/>
      <c r="D56" s="95" t="s">
        <v>189</v>
      </c>
      <c r="E56" s="146">
        <f t="shared" ref="E56:E57" si="17">F56+G56</f>
        <v>1550</v>
      </c>
      <c r="F56" s="115">
        <v>1550</v>
      </c>
      <c r="G56" s="117"/>
      <c r="H56" s="122">
        <f t="shared" ref="H56:H57" si="18">I56+J56</f>
        <v>183912.9</v>
      </c>
      <c r="I56" s="122">
        <f>195142.9-11230</f>
        <v>183912.9</v>
      </c>
      <c r="J56" s="122"/>
      <c r="K56" s="53"/>
    </row>
    <row r="57" spans="1:11" s="46" customFormat="1" ht="15.75" x14ac:dyDescent="0.25">
      <c r="A57" s="248">
        <v>28</v>
      </c>
      <c r="B57" s="110"/>
      <c r="C57" s="105"/>
      <c r="D57" s="106" t="s">
        <v>5</v>
      </c>
      <c r="E57" s="146">
        <f t="shared" si="17"/>
        <v>4104</v>
      </c>
      <c r="F57" s="115">
        <v>3600</v>
      </c>
      <c r="G57" s="117">
        <f>310+194</f>
        <v>504</v>
      </c>
      <c r="H57" s="122">
        <f t="shared" si="18"/>
        <v>564132.69999999995</v>
      </c>
      <c r="I57" s="122">
        <f>451363.6-25974.5</f>
        <v>425389.1</v>
      </c>
      <c r="J57" s="122">
        <f>71541.2+6570.4+60632</f>
        <v>138743.59999999998</v>
      </c>
      <c r="K57" s="53"/>
    </row>
    <row r="58" spans="1:11" s="46" customFormat="1" ht="15.75" x14ac:dyDescent="0.25">
      <c r="A58" s="248">
        <v>28</v>
      </c>
      <c r="B58" s="110"/>
      <c r="C58" s="149"/>
      <c r="D58" s="127" t="s">
        <v>183</v>
      </c>
      <c r="E58" s="147">
        <f>ROUND(E56+E57,0)</f>
        <v>5654</v>
      </c>
      <c r="F58" s="147">
        <f>ROUND(F56+F57,0)</f>
        <v>5150</v>
      </c>
      <c r="G58" s="128">
        <f>ROUND(G56+G57,0)</f>
        <v>504</v>
      </c>
      <c r="H58" s="129">
        <f t="shared" ref="H58:J58" si="19">ROUND(H56+H57,1)</f>
        <v>748045.6</v>
      </c>
      <c r="I58" s="129">
        <f t="shared" si="19"/>
        <v>609302</v>
      </c>
      <c r="J58" s="129">
        <f t="shared" si="19"/>
        <v>138743.6</v>
      </c>
      <c r="K58" s="53"/>
    </row>
    <row r="59" spans="1:11" s="46" customFormat="1" ht="24" customHeight="1" x14ac:dyDescent="0.25">
      <c r="A59" s="248"/>
      <c r="B59" s="110">
        <v>65</v>
      </c>
      <c r="C59" s="399" t="s">
        <v>31</v>
      </c>
      <c r="D59" s="400"/>
      <c r="E59" s="144"/>
      <c r="F59" s="116"/>
      <c r="G59" s="116"/>
      <c r="H59" s="121"/>
      <c r="I59" s="121"/>
      <c r="J59" s="121"/>
      <c r="K59" s="53"/>
    </row>
    <row r="60" spans="1:11" s="46" customFormat="1" ht="28.5" customHeight="1" x14ac:dyDescent="0.25">
      <c r="A60" s="248">
        <v>65</v>
      </c>
      <c r="B60" s="110"/>
      <c r="C60" s="107"/>
      <c r="D60" s="108" t="s">
        <v>469</v>
      </c>
      <c r="E60" s="146">
        <f t="shared" ref="E60:E68" si="20">F60+G60</f>
        <v>215</v>
      </c>
      <c r="F60" s="115">
        <v>215</v>
      </c>
      <c r="G60" s="117"/>
      <c r="H60" s="122">
        <f t="shared" ref="H60:H68" si="21">I60+J60</f>
        <v>12333.7</v>
      </c>
      <c r="I60" s="122">
        <v>12333.7</v>
      </c>
      <c r="J60" s="122"/>
      <c r="K60" s="53"/>
    </row>
    <row r="61" spans="1:11" s="51" customFormat="1" ht="30" x14ac:dyDescent="0.25">
      <c r="A61" s="249">
        <v>65</v>
      </c>
      <c r="B61" s="110"/>
      <c r="C61" s="105"/>
      <c r="D61" s="113" t="s">
        <v>182</v>
      </c>
      <c r="E61" s="146">
        <f t="shared" si="20"/>
        <v>65</v>
      </c>
      <c r="F61" s="115">
        <v>65</v>
      </c>
      <c r="G61" s="117"/>
      <c r="H61" s="122">
        <f t="shared" si="21"/>
        <v>4074.9</v>
      </c>
      <c r="I61" s="122">
        <v>4074.9</v>
      </c>
      <c r="J61" s="122"/>
      <c r="K61" s="97"/>
    </row>
    <row r="62" spans="1:11" s="51" customFormat="1" ht="30" x14ac:dyDescent="0.25">
      <c r="A62" s="249">
        <v>65</v>
      </c>
      <c r="B62" s="110"/>
      <c r="C62" s="105"/>
      <c r="D62" s="113" t="s">
        <v>364</v>
      </c>
      <c r="E62" s="146">
        <f t="shared" si="20"/>
        <v>85</v>
      </c>
      <c r="F62" s="115">
        <v>85</v>
      </c>
      <c r="G62" s="117"/>
      <c r="H62" s="122">
        <f t="shared" si="21"/>
        <v>5428.8</v>
      </c>
      <c r="I62" s="122">
        <v>5428.8</v>
      </c>
      <c r="J62" s="122"/>
      <c r="K62" s="97"/>
    </row>
    <row r="63" spans="1:11" s="51" customFormat="1" ht="15.75" x14ac:dyDescent="0.25">
      <c r="A63" s="249">
        <v>65</v>
      </c>
      <c r="B63" s="110"/>
      <c r="C63" s="105"/>
      <c r="D63" s="106" t="s">
        <v>6</v>
      </c>
      <c r="E63" s="146">
        <f t="shared" si="20"/>
        <v>172</v>
      </c>
      <c r="F63" s="115">
        <v>172</v>
      </c>
      <c r="G63" s="117"/>
      <c r="H63" s="122">
        <f t="shared" si="21"/>
        <v>16043.4</v>
      </c>
      <c r="I63" s="122">
        <v>16043.4</v>
      </c>
      <c r="J63" s="122"/>
      <c r="K63" s="97"/>
    </row>
    <row r="64" spans="1:11" s="51" customFormat="1" ht="15.75" x14ac:dyDescent="0.25">
      <c r="A64" s="249">
        <v>65</v>
      </c>
      <c r="B64" s="110"/>
      <c r="C64" s="105"/>
      <c r="D64" s="106" t="s">
        <v>9</v>
      </c>
      <c r="E64" s="146">
        <f t="shared" si="20"/>
        <v>160</v>
      </c>
      <c r="F64" s="115">
        <v>160</v>
      </c>
      <c r="G64" s="117"/>
      <c r="H64" s="122">
        <f t="shared" si="21"/>
        <v>7807.1</v>
      </c>
      <c r="I64" s="122">
        <v>7807.1</v>
      </c>
      <c r="J64" s="122"/>
      <c r="K64" s="97"/>
    </row>
    <row r="65" spans="1:11" s="51" customFormat="1" ht="15.75" x14ac:dyDescent="0.25">
      <c r="A65" s="249">
        <v>65</v>
      </c>
      <c r="B65" s="110"/>
      <c r="C65" s="105"/>
      <c r="D65" s="106" t="s">
        <v>7</v>
      </c>
      <c r="E65" s="146">
        <f t="shared" si="20"/>
        <v>365</v>
      </c>
      <c r="F65" s="115">
        <v>365</v>
      </c>
      <c r="G65" s="117"/>
      <c r="H65" s="122">
        <f t="shared" si="21"/>
        <v>21913.9</v>
      </c>
      <c r="I65" s="122">
        <v>21913.9</v>
      </c>
      <c r="J65" s="122"/>
      <c r="K65" s="97"/>
    </row>
    <row r="66" spans="1:11" s="51" customFormat="1" ht="15.75" x14ac:dyDescent="0.25">
      <c r="A66" s="249">
        <v>65</v>
      </c>
      <c r="B66" s="110"/>
      <c r="C66" s="105"/>
      <c r="D66" s="106" t="s">
        <v>8</v>
      </c>
      <c r="E66" s="146">
        <f t="shared" si="20"/>
        <v>725</v>
      </c>
      <c r="F66" s="115">
        <v>725</v>
      </c>
      <c r="G66" s="117"/>
      <c r="H66" s="122">
        <f t="shared" si="21"/>
        <v>43731.3</v>
      </c>
      <c r="I66" s="122">
        <v>43731.3</v>
      </c>
      <c r="J66" s="122"/>
      <c r="K66" s="97"/>
    </row>
    <row r="67" spans="1:11" s="51" customFormat="1" ht="15.75" x14ac:dyDescent="0.25">
      <c r="A67" s="249">
        <v>65</v>
      </c>
      <c r="B67" s="110"/>
      <c r="C67" s="105"/>
      <c r="D67" s="106" t="s">
        <v>5</v>
      </c>
      <c r="E67" s="146">
        <f t="shared" si="20"/>
        <v>165</v>
      </c>
      <c r="F67" s="115">
        <v>165</v>
      </c>
      <c r="G67" s="117"/>
      <c r="H67" s="122">
        <f t="shared" si="21"/>
        <v>13674.3</v>
      </c>
      <c r="I67" s="122">
        <v>13674.3</v>
      </c>
      <c r="J67" s="122"/>
      <c r="K67" s="97"/>
    </row>
    <row r="68" spans="1:11" s="51" customFormat="1" ht="15.75" x14ac:dyDescent="0.25">
      <c r="A68" s="249">
        <v>65</v>
      </c>
      <c r="B68" s="110"/>
      <c r="C68" s="105"/>
      <c r="D68" s="106" t="s">
        <v>4</v>
      </c>
      <c r="E68" s="146">
        <f t="shared" si="20"/>
        <v>510</v>
      </c>
      <c r="F68" s="115">
        <v>510</v>
      </c>
      <c r="G68" s="117"/>
      <c r="H68" s="122">
        <f t="shared" si="21"/>
        <v>34069.199999999997</v>
      </c>
      <c r="I68" s="122">
        <v>34069.199999999997</v>
      </c>
      <c r="J68" s="122"/>
      <c r="K68" s="97"/>
    </row>
    <row r="69" spans="1:11" s="46" customFormat="1" ht="15.75" x14ac:dyDescent="0.25">
      <c r="A69" s="249">
        <v>65</v>
      </c>
      <c r="B69" s="110"/>
      <c r="C69" s="148"/>
      <c r="D69" s="127" t="s">
        <v>183</v>
      </c>
      <c r="E69" s="147">
        <f>ROUND(E60+E63+E64+E65+E66+E67+E68,1)</f>
        <v>2312</v>
      </c>
      <c r="F69" s="147">
        <f>ROUND(F60+F63+F64+F65+F66+F67+F68,1)</f>
        <v>2312</v>
      </c>
      <c r="G69" s="128">
        <f t="shared" ref="G69:J69" si="22">ROUND(G60+G63+G64+G65+G66+G67+G68,1)</f>
        <v>0</v>
      </c>
      <c r="H69" s="129">
        <f t="shared" si="22"/>
        <v>149572.9</v>
      </c>
      <c r="I69" s="129">
        <f t="shared" si="22"/>
        <v>149572.9</v>
      </c>
      <c r="J69" s="129">
        <f t="shared" si="22"/>
        <v>0</v>
      </c>
      <c r="K69" s="53"/>
    </row>
    <row r="70" spans="1:11" s="46" customFormat="1" ht="18" customHeight="1" x14ac:dyDescent="0.25">
      <c r="A70" s="249">
        <v>33</v>
      </c>
      <c r="B70" s="104">
        <v>33</v>
      </c>
      <c r="C70" s="399" t="s">
        <v>191</v>
      </c>
      <c r="D70" s="400"/>
      <c r="E70" s="115"/>
      <c r="F70" s="115"/>
      <c r="G70" s="117"/>
      <c r="H70" s="122"/>
      <c r="I70" s="122"/>
      <c r="J70" s="122"/>
      <c r="K70" s="53"/>
    </row>
    <row r="71" spans="1:11" s="46" customFormat="1" ht="15.75" x14ac:dyDescent="0.25">
      <c r="A71" s="248">
        <v>33</v>
      </c>
      <c r="B71" s="104"/>
      <c r="C71" s="105"/>
      <c r="D71" s="103" t="s">
        <v>192</v>
      </c>
      <c r="E71" s="115">
        <f t="shared" ref="E71:E78" si="23">F71+G71</f>
        <v>481</v>
      </c>
      <c r="F71" s="115">
        <v>481</v>
      </c>
      <c r="G71" s="117"/>
      <c r="H71" s="122">
        <f t="shared" ref="H71:H78" si="24">I71+J71</f>
        <v>31235.599999999999</v>
      </c>
      <c r="I71" s="122">
        <v>31235.599999999999</v>
      </c>
      <c r="J71" s="122"/>
      <c r="K71" s="53"/>
    </row>
    <row r="72" spans="1:11" s="46" customFormat="1" ht="15.75" x14ac:dyDescent="0.25">
      <c r="A72" s="248">
        <v>33</v>
      </c>
      <c r="B72" s="104"/>
      <c r="C72" s="105"/>
      <c r="D72" s="103" t="s">
        <v>6</v>
      </c>
      <c r="E72" s="115">
        <f t="shared" si="23"/>
        <v>1969</v>
      </c>
      <c r="F72" s="115">
        <v>1969</v>
      </c>
      <c r="G72" s="117"/>
      <c r="H72" s="122">
        <f t="shared" si="24"/>
        <v>97800.8</v>
      </c>
      <c r="I72" s="122">
        <v>97800.8</v>
      </c>
      <c r="J72" s="122"/>
      <c r="K72" s="53"/>
    </row>
    <row r="73" spans="1:11" s="46" customFormat="1" ht="15.75" x14ac:dyDescent="0.25">
      <c r="A73" s="248">
        <v>33</v>
      </c>
      <c r="B73" s="104"/>
      <c r="C73" s="105"/>
      <c r="D73" s="103" t="s">
        <v>9</v>
      </c>
      <c r="E73" s="115">
        <f t="shared" si="23"/>
        <v>719</v>
      </c>
      <c r="F73" s="115">
        <v>719</v>
      </c>
      <c r="G73" s="117"/>
      <c r="H73" s="122">
        <f t="shared" si="24"/>
        <v>34055.4</v>
      </c>
      <c r="I73" s="122">
        <v>34055.4</v>
      </c>
      <c r="J73" s="122"/>
      <c r="K73" s="53"/>
    </row>
    <row r="74" spans="1:11" s="46" customFormat="1" ht="44.25" customHeight="1" x14ac:dyDescent="0.25">
      <c r="A74" s="248">
        <v>33</v>
      </c>
      <c r="B74" s="104"/>
      <c r="C74" s="105"/>
      <c r="D74" s="103" t="s">
        <v>10</v>
      </c>
      <c r="E74" s="115">
        <f t="shared" si="23"/>
        <v>1943</v>
      </c>
      <c r="F74" s="115">
        <v>1848</v>
      </c>
      <c r="G74" s="117">
        <f>65+30</f>
        <v>95</v>
      </c>
      <c r="H74" s="122">
        <f t="shared" si="24"/>
        <v>130953.7</v>
      </c>
      <c r="I74" s="122">
        <v>112058.2</v>
      </c>
      <c r="J74" s="122">
        <f>12928.5+5967</f>
        <v>18895.5</v>
      </c>
      <c r="K74" s="53"/>
    </row>
    <row r="75" spans="1:11" s="46" customFormat="1" ht="15.75" x14ac:dyDescent="0.25">
      <c r="A75" s="248">
        <v>33</v>
      </c>
      <c r="B75" s="104"/>
      <c r="C75" s="105"/>
      <c r="D75" s="103" t="s">
        <v>12</v>
      </c>
      <c r="E75" s="115">
        <f t="shared" si="23"/>
        <v>1257</v>
      </c>
      <c r="F75" s="115">
        <v>1257</v>
      </c>
      <c r="G75" s="117"/>
      <c r="H75" s="122">
        <f t="shared" si="24"/>
        <v>90302.7</v>
      </c>
      <c r="I75" s="122">
        <v>90302.7</v>
      </c>
      <c r="J75" s="122"/>
      <c r="K75" s="53"/>
    </row>
    <row r="76" spans="1:11" s="46" customFormat="1" ht="15.75" x14ac:dyDescent="0.25">
      <c r="A76" s="248">
        <v>33</v>
      </c>
      <c r="B76" s="104"/>
      <c r="C76" s="105"/>
      <c r="D76" s="103" t="s">
        <v>8</v>
      </c>
      <c r="E76" s="115">
        <f t="shared" si="23"/>
        <v>1520</v>
      </c>
      <c r="F76" s="115">
        <v>1520</v>
      </c>
      <c r="G76" s="117"/>
      <c r="H76" s="122">
        <f t="shared" si="24"/>
        <v>74224.399999999994</v>
      </c>
      <c r="I76" s="122">
        <v>74224.399999999994</v>
      </c>
      <c r="J76" s="122"/>
      <c r="K76" s="53"/>
    </row>
    <row r="77" spans="1:11" s="46" customFormat="1" ht="15.75" x14ac:dyDescent="0.25">
      <c r="A77" s="248">
        <v>33</v>
      </c>
      <c r="B77" s="104"/>
      <c r="C77" s="105"/>
      <c r="D77" s="103" t="s">
        <v>13</v>
      </c>
      <c r="E77" s="115">
        <f t="shared" si="23"/>
        <v>957</v>
      </c>
      <c r="F77" s="115">
        <v>923</v>
      </c>
      <c r="G77" s="117">
        <v>34</v>
      </c>
      <c r="H77" s="122">
        <f t="shared" si="24"/>
        <v>68145.7</v>
      </c>
      <c r="I77" s="122">
        <v>62808.9</v>
      </c>
      <c r="J77" s="122">
        <f>4999.7+337.1</f>
        <v>5336.8</v>
      </c>
      <c r="K77" s="53"/>
    </row>
    <row r="78" spans="1:11" s="46" customFormat="1" ht="15.75" x14ac:dyDescent="0.25">
      <c r="A78" s="248">
        <v>33</v>
      </c>
      <c r="B78" s="104"/>
      <c r="C78" s="105"/>
      <c r="D78" s="103" t="s">
        <v>4</v>
      </c>
      <c r="E78" s="115">
        <f t="shared" si="23"/>
        <v>2660</v>
      </c>
      <c r="F78" s="115">
        <v>2620</v>
      </c>
      <c r="G78" s="117">
        <v>40</v>
      </c>
      <c r="H78" s="122">
        <f t="shared" si="24"/>
        <v>235167.30000000002</v>
      </c>
      <c r="I78" s="122">
        <v>225262.1</v>
      </c>
      <c r="J78" s="122">
        <f>9276.7+628.5</f>
        <v>9905.2000000000007</v>
      </c>
      <c r="K78" s="53"/>
    </row>
    <row r="79" spans="1:11" s="46" customFormat="1" ht="15.75" x14ac:dyDescent="0.25">
      <c r="A79" s="248">
        <v>33</v>
      </c>
      <c r="B79" s="104"/>
      <c r="C79" s="126"/>
      <c r="D79" s="127" t="s">
        <v>183</v>
      </c>
      <c r="E79" s="128">
        <f>ROUND(E70+E71+E72+E73+E74+E75+E76+E77+E78,0)</f>
        <v>11506</v>
      </c>
      <c r="F79" s="128">
        <f>ROUND(F70+F71+F72+F73+F74+F75+F76+F77+F78,0)</f>
        <v>11337</v>
      </c>
      <c r="G79" s="128">
        <f>ROUND(G70+G71+G72+G73+G74+G75+G76+G77+G78,0)</f>
        <v>169</v>
      </c>
      <c r="H79" s="129">
        <f t="shared" ref="H79:J79" si="25">ROUND(H70+H71+H72+H73+H74+H75+H76+H77+H78,1)</f>
        <v>761885.6</v>
      </c>
      <c r="I79" s="129">
        <f t="shared" si="25"/>
        <v>727748.1</v>
      </c>
      <c r="J79" s="129">
        <f t="shared" si="25"/>
        <v>34137.5</v>
      </c>
      <c r="K79" s="53"/>
    </row>
    <row r="80" spans="1:11" s="46" customFormat="1" ht="21" customHeight="1" x14ac:dyDescent="0.25">
      <c r="A80" s="248">
        <v>135</v>
      </c>
      <c r="B80" s="110">
        <v>135</v>
      </c>
      <c r="C80" s="399" t="s">
        <v>111</v>
      </c>
      <c r="D80" s="400"/>
      <c r="E80" s="116"/>
      <c r="F80" s="116"/>
      <c r="G80" s="116"/>
      <c r="H80" s="121"/>
      <c r="I80" s="121"/>
      <c r="J80" s="121"/>
      <c r="K80" s="53"/>
    </row>
    <row r="81" spans="1:11" s="46" customFormat="1" ht="15.75" x14ac:dyDescent="0.25">
      <c r="A81" s="248">
        <v>135</v>
      </c>
      <c r="B81" s="110"/>
      <c r="C81" s="125"/>
      <c r="D81" s="186" t="s">
        <v>7</v>
      </c>
      <c r="E81" s="115">
        <f>F81+G81</f>
        <v>2470</v>
      </c>
      <c r="F81" s="115">
        <f>2700-200-30</f>
        <v>2470</v>
      </c>
      <c r="G81" s="117"/>
      <c r="H81" s="122">
        <f>I81+J81</f>
        <v>61951.8</v>
      </c>
      <c r="I81" s="122">
        <f>123308.3-6530.5-38469.5-4898.8-11457.7</f>
        <v>61951.8</v>
      </c>
      <c r="J81" s="122"/>
      <c r="K81" s="53"/>
    </row>
    <row r="82" spans="1:11" s="46" customFormat="1" ht="15.75" x14ac:dyDescent="0.25">
      <c r="A82" s="248">
        <v>135</v>
      </c>
      <c r="B82" s="110"/>
      <c r="C82" s="187"/>
      <c r="D82" s="188" t="s">
        <v>183</v>
      </c>
      <c r="E82" s="128">
        <f>ROUND(E81,0)</f>
        <v>2470</v>
      </c>
      <c r="F82" s="128">
        <f>ROUND(F81,0)</f>
        <v>2470</v>
      </c>
      <c r="G82" s="128">
        <f>ROUND(G81,0)</f>
        <v>0</v>
      </c>
      <c r="H82" s="129">
        <f t="shared" ref="H82:J82" si="26">ROUND(H81,1)</f>
        <v>61951.8</v>
      </c>
      <c r="I82" s="129">
        <f t="shared" si="26"/>
        <v>61951.8</v>
      </c>
      <c r="J82" s="129">
        <f t="shared" si="26"/>
        <v>0</v>
      </c>
      <c r="K82" s="53"/>
    </row>
    <row r="83" spans="1:11" s="46" customFormat="1" ht="28.5" customHeight="1" x14ac:dyDescent="0.25">
      <c r="A83" s="248"/>
      <c r="B83" s="110">
        <v>133</v>
      </c>
      <c r="C83" s="399" t="s">
        <v>193</v>
      </c>
      <c r="D83" s="400"/>
      <c r="E83" s="116"/>
      <c r="F83" s="116"/>
      <c r="G83" s="116"/>
      <c r="H83" s="121"/>
      <c r="I83" s="121"/>
      <c r="J83" s="121"/>
      <c r="K83" s="53"/>
    </row>
    <row r="84" spans="1:11" s="46" customFormat="1" ht="15.75" x14ac:dyDescent="0.25">
      <c r="A84" s="248">
        <v>133</v>
      </c>
      <c r="B84" s="110"/>
      <c r="C84" s="107"/>
      <c r="D84" s="95" t="s">
        <v>192</v>
      </c>
      <c r="E84" s="115">
        <f t="shared" ref="E84:E91" si="27">F84+G84</f>
        <v>560</v>
      </c>
      <c r="F84" s="115">
        <v>560</v>
      </c>
      <c r="G84" s="117"/>
      <c r="H84" s="122">
        <f t="shared" ref="H84:H91" si="28">I84+J84</f>
        <v>22966.799999999999</v>
      </c>
      <c r="I84" s="122">
        <v>22966.799999999999</v>
      </c>
      <c r="J84" s="122"/>
      <c r="K84" s="53"/>
    </row>
    <row r="85" spans="1:11" s="46" customFormat="1" ht="15.75" x14ac:dyDescent="0.25">
      <c r="A85" s="248">
        <v>133</v>
      </c>
      <c r="B85" s="110"/>
      <c r="C85" s="105"/>
      <c r="D85" s="106" t="s">
        <v>194</v>
      </c>
      <c r="E85" s="115">
        <f t="shared" si="27"/>
        <v>100</v>
      </c>
      <c r="F85" s="115">
        <v>100</v>
      </c>
      <c r="G85" s="117"/>
      <c r="H85" s="122">
        <f t="shared" si="28"/>
        <v>4853</v>
      </c>
      <c r="I85" s="122">
        <v>4853</v>
      </c>
      <c r="J85" s="122"/>
      <c r="K85" s="53"/>
    </row>
    <row r="86" spans="1:11" s="46" customFormat="1" ht="15.75" x14ac:dyDescent="0.25">
      <c r="A86" s="248">
        <v>133</v>
      </c>
      <c r="B86" s="110"/>
      <c r="C86" s="105"/>
      <c r="D86" s="106" t="s">
        <v>195</v>
      </c>
      <c r="E86" s="115">
        <f t="shared" si="27"/>
        <v>570</v>
      </c>
      <c r="F86" s="115">
        <v>550</v>
      </c>
      <c r="G86" s="117">
        <v>20</v>
      </c>
      <c r="H86" s="122">
        <f t="shared" si="28"/>
        <v>62543.7</v>
      </c>
      <c r="I86" s="122">
        <v>57426.2</v>
      </c>
      <c r="J86" s="122">
        <v>5117.5</v>
      </c>
      <c r="K86" s="53"/>
    </row>
    <row r="87" spans="1:11" s="46" customFormat="1" ht="15.75" x14ac:dyDescent="0.25">
      <c r="A87" s="248">
        <v>133</v>
      </c>
      <c r="B87" s="110"/>
      <c r="C87" s="105"/>
      <c r="D87" s="106" t="s">
        <v>196</v>
      </c>
      <c r="E87" s="115">
        <f t="shared" si="27"/>
        <v>550</v>
      </c>
      <c r="F87" s="115">
        <v>550</v>
      </c>
      <c r="G87" s="117"/>
      <c r="H87" s="122">
        <f t="shared" si="28"/>
        <v>61547.199999999997</v>
      </c>
      <c r="I87" s="122">
        <f>73825.4-12278.2</f>
        <v>61547.199999999997</v>
      </c>
      <c r="J87" s="122"/>
      <c r="K87" s="53"/>
    </row>
    <row r="88" spans="1:11" s="46" customFormat="1" ht="15.75" x14ac:dyDescent="0.25">
      <c r="A88" s="248">
        <v>133</v>
      </c>
      <c r="B88" s="110"/>
      <c r="C88" s="105"/>
      <c r="D88" s="106" t="s">
        <v>9</v>
      </c>
      <c r="E88" s="115">
        <f t="shared" si="27"/>
        <v>565</v>
      </c>
      <c r="F88" s="115">
        <v>565</v>
      </c>
      <c r="G88" s="117"/>
      <c r="H88" s="122">
        <f t="shared" si="28"/>
        <v>31121.1</v>
      </c>
      <c r="I88" s="122">
        <v>31121.1</v>
      </c>
      <c r="J88" s="122"/>
      <c r="K88" s="53"/>
    </row>
    <row r="89" spans="1:11" s="46" customFormat="1" ht="15.75" x14ac:dyDescent="0.25">
      <c r="A89" s="248">
        <v>133</v>
      </c>
      <c r="B89" s="110"/>
      <c r="C89" s="105"/>
      <c r="D89" s="106" t="s">
        <v>184</v>
      </c>
      <c r="E89" s="115">
        <f t="shared" si="27"/>
        <v>550</v>
      </c>
      <c r="F89" s="115">
        <v>550</v>
      </c>
      <c r="G89" s="117"/>
      <c r="H89" s="122">
        <f t="shared" si="28"/>
        <v>57563.8</v>
      </c>
      <c r="I89" s="122">
        <v>57563.8</v>
      </c>
      <c r="J89" s="122"/>
      <c r="K89" s="53"/>
    </row>
    <row r="90" spans="1:11" s="46" customFormat="1" ht="15.75" x14ac:dyDescent="0.25">
      <c r="A90" s="248">
        <v>133</v>
      </c>
      <c r="B90" s="110"/>
      <c r="C90" s="105"/>
      <c r="D90" s="106" t="s">
        <v>197</v>
      </c>
      <c r="E90" s="115">
        <f t="shared" si="27"/>
        <v>550</v>
      </c>
      <c r="F90" s="115">
        <v>550</v>
      </c>
      <c r="G90" s="117"/>
      <c r="H90" s="122">
        <f t="shared" si="28"/>
        <v>31732.2</v>
      </c>
      <c r="I90" s="122">
        <v>31732.2</v>
      </c>
      <c r="J90" s="122"/>
      <c r="K90" s="53"/>
    </row>
    <row r="91" spans="1:11" s="46" customFormat="1" ht="15.75" x14ac:dyDescent="0.25">
      <c r="A91" s="248">
        <v>133</v>
      </c>
      <c r="B91" s="110"/>
      <c r="C91" s="105"/>
      <c r="D91" s="106" t="s">
        <v>7</v>
      </c>
      <c r="E91" s="115">
        <f t="shared" si="27"/>
        <v>2035</v>
      </c>
      <c r="F91" s="115">
        <v>1850</v>
      </c>
      <c r="G91" s="117">
        <v>185</v>
      </c>
      <c r="H91" s="122">
        <f t="shared" si="28"/>
        <v>173142.90000000002</v>
      </c>
      <c r="I91" s="122">
        <f>132884+12278.2</f>
        <v>145162.20000000001</v>
      </c>
      <c r="J91" s="122">
        <v>27980.7</v>
      </c>
      <c r="K91" s="53"/>
    </row>
    <row r="92" spans="1:11" s="46" customFormat="1" ht="15.75" x14ac:dyDescent="0.25">
      <c r="A92" s="248">
        <v>133</v>
      </c>
      <c r="B92" s="110"/>
      <c r="C92" s="130"/>
      <c r="D92" s="132" t="s">
        <v>183</v>
      </c>
      <c r="E92" s="128">
        <f>ROUND(E84+E85+E86+E87+E88+E89+E90+E91,0)</f>
        <v>5480</v>
      </c>
      <c r="F92" s="128">
        <f>ROUND(F84+F85+F86+F87+F88+F89+F90+F91,0)</f>
        <v>5275</v>
      </c>
      <c r="G92" s="128">
        <f>ROUND(G84+G85+G86+G87+G88+G89+G90+G91,0)</f>
        <v>205</v>
      </c>
      <c r="H92" s="129">
        <f t="shared" ref="H92:J92" si="29">ROUND(H84+H85+H86+H87+H88+H89+H90+H91,1)</f>
        <v>445470.7</v>
      </c>
      <c r="I92" s="129">
        <f t="shared" si="29"/>
        <v>412372.5</v>
      </c>
      <c r="J92" s="129">
        <f t="shared" si="29"/>
        <v>33098.199999999997</v>
      </c>
      <c r="K92" s="53"/>
    </row>
    <row r="93" spans="1:11" s="46" customFormat="1" ht="22.5" customHeight="1" x14ac:dyDescent="0.25">
      <c r="A93" s="248">
        <v>67</v>
      </c>
      <c r="B93" s="104">
        <v>67</v>
      </c>
      <c r="C93" s="399" t="s">
        <v>198</v>
      </c>
      <c r="D93" s="400"/>
      <c r="E93" s="115"/>
      <c r="F93" s="115"/>
      <c r="G93" s="117"/>
      <c r="H93" s="122"/>
      <c r="I93" s="122"/>
      <c r="J93" s="122"/>
      <c r="K93" s="53"/>
    </row>
    <row r="94" spans="1:11" s="46" customFormat="1" ht="30" customHeight="1" x14ac:dyDescent="0.25">
      <c r="A94" s="248">
        <v>67</v>
      </c>
      <c r="B94" s="104"/>
      <c r="C94" s="105"/>
      <c r="D94" s="108" t="s">
        <v>469</v>
      </c>
      <c r="E94" s="115">
        <f t="shared" ref="E94:E99" si="30">F94+G94</f>
        <v>200</v>
      </c>
      <c r="F94" s="115">
        <v>200</v>
      </c>
      <c r="G94" s="117"/>
      <c r="H94" s="122">
        <f t="shared" ref="H94:H99" si="31">I94+J94</f>
        <v>5495.9</v>
      </c>
      <c r="I94" s="122">
        <v>5495.9</v>
      </c>
      <c r="J94" s="122"/>
      <c r="K94" s="53"/>
    </row>
    <row r="95" spans="1:11" s="46" customFormat="1" ht="30" x14ac:dyDescent="0.25">
      <c r="A95" s="248">
        <v>67</v>
      </c>
      <c r="B95" s="104"/>
      <c r="C95" s="105"/>
      <c r="D95" s="113" t="s">
        <v>364</v>
      </c>
      <c r="E95" s="115">
        <f t="shared" si="30"/>
        <v>100</v>
      </c>
      <c r="F95" s="115">
        <v>100</v>
      </c>
      <c r="G95" s="117"/>
      <c r="H95" s="122">
        <f t="shared" si="31"/>
        <v>3574.4</v>
      </c>
      <c r="I95" s="122">
        <v>3574.4</v>
      </c>
      <c r="J95" s="122"/>
      <c r="K95" s="53"/>
    </row>
    <row r="96" spans="1:11" s="46" customFormat="1" ht="21.75" customHeight="1" x14ac:dyDescent="0.25">
      <c r="A96" s="248">
        <v>67</v>
      </c>
      <c r="B96" s="104"/>
      <c r="C96" s="105"/>
      <c r="D96" s="106" t="s">
        <v>6</v>
      </c>
      <c r="E96" s="115">
        <f t="shared" si="30"/>
        <v>209</v>
      </c>
      <c r="F96" s="115">
        <v>209</v>
      </c>
      <c r="G96" s="117"/>
      <c r="H96" s="122">
        <f t="shared" si="31"/>
        <v>4709.5</v>
      </c>
      <c r="I96" s="122">
        <f>11209.5-6500</f>
        <v>4709.5</v>
      </c>
      <c r="J96" s="122"/>
      <c r="K96" s="53"/>
    </row>
    <row r="97" spans="1:11" s="46" customFormat="1" ht="15.75" x14ac:dyDescent="0.25">
      <c r="A97" s="248">
        <v>67</v>
      </c>
      <c r="B97" s="104"/>
      <c r="C97" s="105"/>
      <c r="D97" s="106" t="s">
        <v>7</v>
      </c>
      <c r="E97" s="115">
        <f t="shared" si="30"/>
        <v>199</v>
      </c>
      <c r="F97" s="115">
        <v>199</v>
      </c>
      <c r="G97" s="117"/>
      <c r="H97" s="122">
        <f t="shared" si="31"/>
        <v>4844.1000000000004</v>
      </c>
      <c r="I97" s="122">
        <f>9295.1-4451</f>
        <v>4844.1000000000004</v>
      </c>
      <c r="J97" s="122"/>
      <c r="K97" s="53"/>
    </row>
    <row r="98" spans="1:11" s="46" customFormat="1" ht="15.75" x14ac:dyDescent="0.25">
      <c r="A98" s="248">
        <v>67</v>
      </c>
      <c r="B98" s="104"/>
      <c r="C98" s="105"/>
      <c r="D98" s="106" t="s">
        <v>8</v>
      </c>
      <c r="E98" s="115">
        <f t="shared" si="30"/>
        <v>697</v>
      </c>
      <c r="F98" s="115">
        <v>697</v>
      </c>
      <c r="G98" s="117"/>
      <c r="H98" s="122">
        <f t="shared" si="31"/>
        <v>27854.2</v>
      </c>
      <c r="I98" s="122">
        <v>27854.2</v>
      </c>
      <c r="J98" s="122"/>
      <c r="K98" s="53"/>
    </row>
    <row r="99" spans="1:11" s="46" customFormat="1" ht="15.75" x14ac:dyDescent="0.25">
      <c r="A99" s="248">
        <v>67</v>
      </c>
      <c r="B99" s="104"/>
      <c r="C99" s="107"/>
      <c r="D99" s="106" t="s">
        <v>4</v>
      </c>
      <c r="E99" s="115">
        <f t="shared" si="30"/>
        <v>380</v>
      </c>
      <c r="F99" s="115">
        <v>380</v>
      </c>
      <c r="G99" s="115"/>
      <c r="H99" s="122">
        <f t="shared" si="31"/>
        <v>13810.7</v>
      </c>
      <c r="I99" s="122">
        <v>13810.7</v>
      </c>
      <c r="J99" s="122"/>
      <c r="K99" s="53"/>
    </row>
    <row r="100" spans="1:11" s="46" customFormat="1" ht="15.75" x14ac:dyDescent="0.25">
      <c r="A100" s="248">
        <v>67</v>
      </c>
      <c r="B100" s="104"/>
      <c r="C100" s="126"/>
      <c r="D100" s="145" t="s">
        <v>183</v>
      </c>
      <c r="E100" s="128">
        <f>ROUND(E93+E94+E96+E97+E98+E99,0)</f>
        <v>1685</v>
      </c>
      <c r="F100" s="128">
        <f>ROUND(F93+F94+F96+F97+F98+F99,0)</f>
        <v>1685</v>
      </c>
      <c r="G100" s="128">
        <f>ROUND(G93+G94+G96+G97+G98+G99,0)</f>
        <v>0</v>
      </c>
      <c r="H100" s="129">
        <f>ROUND(H93+H94+H96+H97+H98+H99,1)</f>
        <v>56714.400000000001</v>
      </c>
      <c r="I100" s="129">
        <f>ROUND(I93+I94+I96+I97+I98+I99,1)</f>
        <v>56714.400000000001</v>
      </c>
      <c r="J100" s="129">
        <f>ROUND(J93+J94+J96+J97+J98+J99,1)</f>
        <v>0</v>
      </c>
      <c r="K100" s="53"/>
    </row>
    <row r="101" spans="1:11" s="46" customFormat="1" ht="28.5" customHeight="1" x14ac:dyDescent="0.25">
      <c r="A101" s="248">
        <v>69</v>
      </c>
      <c r="B101" s="110">
        <v>69</v>
      </c>
      <c r="C101" s="399" t="s">
        <v>95</v>
      </c>
      <c r="D101" s="400"/>
      <c r="E101" s="116"/>
      <c r="F101" s="116"/>
      <c r="G101" s="116"/>
      <c r="H101" s="121"/>
      <c r="I101" s="121"/>
      <c r="J101" s="121"/>
      <c r="K101" s="53"/>
    </row>
    <row r="102" spans="1:11" s="46" customFormat="1" ht="90" x14ac:dyDescent="0.25">
      <c r="A102" s="248">
        <v>69</v>
      </c>
      <c r="B102" s="110"/>
      <c r="C102" s="107"/>
      <c r="D102" s="108" t="s">
        <v>469</v>
      </c>
      <c r="E102" s="115">
        <f t="shared" ref="E102:E109" si="32">F102+G102</f>
        <v>342</v>
      </c>
      <c r="F102" s="115">
        <v>342</v>
      </c>
      <c r="G102" s="117"/>
      <c r="H102" s="122">
        <f t="shared" ref="H102:H109" si="33">I102+J102</f>
        <v>14715.9</v>
      </c>
      <c r="I102" s="122">
        <v>14715.9</v>
      </c>
      <c r="J102" s="122"/>
      <c r="K102" s="53"/>
    </row>
    <row r="103" spans="1:11" s="46" customFormat="1" ht="30" x14ac:dyDescent="0.25">
      <c r="A103" s="248">
        <v>69</v>
      </c>
      <c r="B103" s="110"/>
      <c r="C103" s="105"/>
      <c r="D103" s="113" t="s">
        <v>182</v>
      </c>
      <c r="E103" s="115">
        <f t="shared" si="32"/>
        <v>114</v>
      </c>
      <c r="F103" s="115">
        <v>114</v>
      </c>
      <c r="G103" s="117"/>
      <c r="H103" s="122">
        <f t="shared" si="33"/>
        <v>7239</v>
      </c>
      <c r="I103" s="122">
        <v>7239</v>
      </c>
      <c r="J103" s="122"/>
      <c r="K103" s="53"/>
    </row>
    <row r="104" spans="1:11" s="46" customFormat="1" ht="30" x14ac:dyDescent="0.25">
      <c r="A104" s="248">
        <v>69</v>
      </c>
      <c r="B104" s="110"/>
      <c r="C104" s="105"/>
      <c r="D104" s="113" t="s">
        <v>364</v>
      </c>
      <c r="E104" s="115">
        <f t="shared" si="32"/>
        <v>135</v>
      </c>
      <c r="F104" s="115">
        <v>135</v>
      </c>
      <c r="G104" s="117"/>
      <c r="H104" s="122">
        <f t="shared" si="33"/>
        <v>8622.9</v>
      </c>
      <c r="I104" s="122">
        <v>8622.9</v>
      </c>
      <c r="J104" s="122"/>
      <c r="K104" s="53"/>
    </row>
    <row r="105" spans="1:11" s="46" customFormat="1" ht="15.75" x14ac:dyDescent="0.25">
      <c r="A105" s="248">
        <v>69</v>
      </c>
      <c r="B105" s="110"/>
      <c r="C105" s="105"/>
      <c r="D105" s="106" t="s">
        <v>6</v>
      </c>
      <c r="E105" s="115">
        <f t="shared" si="32"/>
        <v>358</v>
      </c>
      <c r="F105" s="115">
        <v>358</v>
      </c>
      <c r="G105" s="117"/>
      <c r="H105" s="122">
        <f t="shared" si="33"/>
        <v>24242.2</v>
      </c>
      <c r="I105" s="122">
        <v>24242.2</v>
      </c>
      <c r="J105" s="122"/>
      <c r="K105" s="53"/>
    </row>
    <row r="106" spans="1:11" s="46" customFormat="1" ht="15.75" x14ac:dyDescent="0.25">
      <c r="A106" s="248">
        <v>69</v>
      </c>
      <c r="B106" s="110"/>
      <c r="C106" s="105"/>
      <c r="D106" s="106" t="s">
        <v>7</v>
      </c>
      <c r="E106" s="115">
        <f t="shared" si="32"/>
        <v>230</v>
      </c>
      <c r="F106" s="115">
        <v>230</v>
      </c>
      <c r="G106" s="117"/>
      <c r="H106" s="122">
        <f t="shared" si="33"/>
        <v>13520.1</v>
      </c>
      <c r="I106" s="122">
        <v>13520.1</v>
      </c>
      <c r="J106" s="122"/>
      <c r="K106" s="53"/>
    </row>
    <row r="107" spans="1:11" s="46" customFormat="1" ht="15.75" x14ac:dyDescent="0.25">
      <c r="A107" s="248">
        <v>69</v>
      </c>
      <c r="B107" s="110"/>
      <c r="C107" s="105"/>
      <c r="D107" s="106" t="s">
        <v>8</v>
      </c>
      <c r="E107" s="115">
        <f t="shared" si="32"/>
        <v>695</v>
      </c>
      <c r="F107" s="115">
        <v>695</v>
      </c>
      <c r="G107" s="117"/>
      <c r="H107" s="122">
        <f t="shared" si="33"/>
        <v>37421.9</v>
      </c>
      <c r="I107" s="122">
        <v>37421.9</v>
      </c>
      <c r="J107" s="122"/>
      <c r="K107" s="53"/>
    </row>
    <row r="108" spans="1:11" s="46" customFormat="1" ht="15.75" x14ac:dyDescent="0.25">
      <c r="A108" s="248">
        <v>69</v>
      </c>
      <c r="B108" s="110"/>
      <c r="C108" s="105"/>
      <c r="D108" s="106" t="s">
        <v>5</v>
      </c>
      <c r="E108" s="115">
        <f t="shared" si="32"/>
        <v>167</v>
      </c>
      <c r="F108" s="115">
        <v>167</v>
      </c>
      <c r="G108" s="117"/>
      <c r="H108" s="122">
        <f t="shared" si="33"/>
        <v>18943</v>
      </c>
      <c r="I108" s="122">
        <v>18943</v>
      </c>
      <c r="J108" s="122"/>
      <c r="K108" s="53"/>
    </row>
    <row r="109" spans="1:11" s="46" customFormat="1" ht="15.75" x14ac:dyDescent="0.25">
      <c r="A109" s="248">
        <v>69</v>
      </c>
      <c r="B109" s="110"/>
      <c r="C109" s="107"/>
      <c r="D109" s="106" t="s">
        <v>4</v>
      </c>
      <c r="E109" s="115">
        <f t="shared" si="32"/>
        <v>334</v>
      </c>
      <c r="F109" s="115">
        <v>334</v>
      </c>
      <c r="G109" s="115"/>
      <c r="H109" s="122">
        <f t="shared" si="33"/>
        <v>21243.200000000001</v>
      </c>
      <c r="I109" s="122">
        <v>21243.200000000001</v>
      </c>
      <c r="J109" s="122"/>
      <c r="K109" s="53"/>
    </row>
    <row r="110" spans="1:11" s="46" customFormat="1" ht="15.75" x14ac:dyDescent="0.25">
      <c r="A110" s="248">
        <v>69</v>
      </c>
      <c r="B110" s="110"/>
      <c r="C110" s="126"/>
      <c r="D110" s="145" t="s">
        <v>183</v>
      </c>
      <c r="E110" s="128">
        <f>ROUND(E102+E105+E106+E107+E108+E109,1)</f>
        <v>2126</v>
      </c>
      <c r="F110" s="128">
        <f>ROUND(F102+F105+F106+F107+F108+F109,1)</f>
        <v>2126</v>
      </c>
      <c r="G110" s="128">
        <f t="shared" ref="G110:J110" si="34">ROUND(G102+G105+G106+G107+G108+G109,1)</f>
        <v>0</v>
      </c>
      <c r="H110" s="129">
        <f t="shared" si="34"/>
        <v>130086.3</v>
      </c>
      <c r="I110" s="129">
        <f t="shared" si="34"/>
        <v>130086.3</v>
      </c>
      <c r="J110" s="129">
        <f t="shared" si="34"/>
        <v>0</v>
      </c>
      <c r="K110" s="53"/>
    </row>
    <row r="111" spans="1:11" s="46" customFormat="1" ht="27" customHeight="1" x14ac:dyDescent="0.25">
      <c r="A111" s="248">
        <v>71</v>
      </c>
      <c r="B111" s="110">
        <v>71</v>
      </c>
      <c r="C111" s="399" t="s">
        <v>96</v>
      </c>
      <c r="D111" s="400"/>
      <c r="E111" s="116"/>
      <c r="F111" s="116"/>
      <c r="G111" s="116"/>
      <c r="H111" s="121"/>
      <c r="I111" s="121"/>
      <c r="J111" s="121"/>
      <c r="K111" s="53"/>
    </row>
    <row r="112" spans="1:11" s="46" customFormat="1" ht="90" x14ac:dyDescent="0.25">
      <c r="A112" s="248">
        <v>71</v>
      </c>
      <c r="B112" s="110"/>
      <c r="C112" s="107"/>
      <c r="D112" s="108" t="s">
        <v>469</v>
      </c>
      <c r="E112" s="115">
        <f t="shared" ref="E112:E118" si="35">F112+G112</f>
        <v>388</v>
      </c>
      <c r="F112" s="115">
        <v>388</v>
      </c>
      <c r="G112" s="117"/>
      <c r="H112" s="122">
        <f t="shared" ref="H112:H118" si="36">I112+J112</f>
        <v>13564.599999999999</v>
      </c>
      <c r="I112" s="122">
        <f>16564.6-3000</f>
        <v>13564.599999999999</v>
      </c>
      <c r="J112" s="122"/>
      <c r="K112" s="53"/>
    </row>
    <row r="113" spans="1:11" s="46" customFormat="1" ht="30" x14ac:dyDescent="0.25">
      <c r="A113" s="248">
        <v>71</v>
      </c>
      <c r="B113" s="110"/>
      <c r="C113" s="105"/>
      <c r="D113" s="113" t="s">
        <v>182</v>
      </c>
      <c r="E113" s="115">
        <f t="shared" si="35"/>
        <v>108</v>
      </c>
      <c r="F113" s="115">
        <v>108</v>
      </c>
      <c r="G113" s="117"/>
      <c r="H113" s="122">
        <f t="shared" si="36"/>
        <v>5422.6</v>
      </c>
      <c r="I113" s="122">
        <v>5422.6</v>
      </c>
      <c r="J113" s="122"/>
      <c r="K113" s="53"/>
    </row>
    <row r="114" spans="1:11" s="46" customFormat="1" ht="27.75" customHeight="1" x14ac:dyDescent="0.25">
      <c r="A114" s="248">
        <v>71</v>
      </c>
      <c r="B114" s="110"/>
      <c r="C114" s="105"/>
      <c r="D114" s="113" t="s">
        <v>364</v>
      </c>
      <c r="E114" s="115">
        <f t="shared" si="35"/>
        <v>127</v>
      </c>
      <c r="F114" s="115">
        <v>127</v>
      </c>
      <c r="G114" s="117"/>
      <c r="H114" s="122">
        <f t="shared" si="36"/>
        <v>6342</v>
      </c>
      <c r="I114" s="122">
        <v>6342</v>
      </c>
      <c r="J114" s="122"/>
      <c r="K114" s="53"/>
    </row>
    <row r="115" spans="1:11" s="46" customFormat="1" ht="15.75" x14ac:dyDescent="0.25">
      <c r="A115" s="248">
        <v>71</v>
      </c>
      <c r="B115" s="110"/>
      <c r="C115" s="105"/>
      <c r="D115" s="106" t="s">
        <v>6</v>
      </c>
      <c r="E115" s="115">
        <f t="shared" si="35"/>
        <v>300</v>
      </c>
      <c r="F115" s="115">
        <v>300</v>
      </c>
      <c r="G115" s="117"/>
      <c r="H115" s="122">
        <f t="shared" si="36"/>
        <v>18651.900000000001</v>
      </c>
      <c r="I115" s="122">
        <v>18651.900000000001</v>
      </c>
      <c r="J115" s="122"/>
      <c r="K115" s="53"/>
    </row>
    <row r="116" spans="1:11" s="46" customFormat="1" ht="15.75" x14ac:dyDescent="0.25">
      <c r="A116" s="248">
        <v>71</v>
      </c>
      <c r="B116" s="110"/>
      <c r="C116" s="105"/>
      <c r="D116" s="106" t="s">
        <v>7</v>
      </c>
      <c r="E116" s="115">
        <f t="shared" si="35"/>
        <v>322</v>
      </c>
      <c r="F116" s="115">
        <v>322</v>
      </c>
      <c r="G116" s="117"/>
      <c r="H116" s="122">
        <f t="shared" si="36"/>
        <v>13465.6</v>
      </c>
      <c r="I116" s="122">
        <v>13465.6</v>
      </c>
      <c r="J116" s="122"/>
      <c r="K116" s="53"/>
    </row>
    <row r="117" spans="1:11" s="46" customFormat="1" ht="15.75" x14ac:dyDescent="0.25">
      <c r="A117" s="248">
        <v>71</v>
      </c>
      <c r="B117" s="110"/>
      <c r="C117" s="105"/>
      <c r="D117" s="106" t="s">
        <v>8</v>
      </c>
      <c r="E117" s="115">
        <f t="shared" si="35"/>
        <v>833</v>
      </c>
      <c r="F117" s="115">
        <v>833</v>
      </c>
      <c r="G117" s="117"/>
      <c r="H117" s="122">
        <f t="shared" si="36"/>
        <v>32754.400000000001</v>
      </c>
      <c r="I117" s="122">
        <f>42754.4-10000</f>
        <v>32754.400000000001</v>
      </c>
      <c r="J117" s="122"/>
      <c r="K117" s="53"/>
    </row>
    <row r="118" spans="1:11" s="46" customFormat="1" ht="15.75" x14ac:dyDescent="0.25">
      <c r="A118" s="248">
        <v>71</v>
      </c>
      <c r="B118" s="110"/>
      <c r="C118" s="105"/>
      <c r="D118" s="106" t="s">
        <v>4</v>
      </c>
      <c r="E118" s="115">
        <f t="shared" si="35"/>
        <v>450</v>
      </c>
      <c r="F118" s="115">
        <v>450</v>
      </c>
      <c r="G118" s="117"/>
      <c r="H118" s="122">
        <f t="shared" si="36"/>
        <v>21197.9</v>
      </c>
      <c r="I118" s="122">
        <f>23361.7-2163.8</f>
        <v>21197.9</v>
      </c>
      <c r="J118" s="122"/>
      <c r="K118" s="53"/>
    </row>
    <row r="119" spans="1:11" s="46" customFormat="1" ht="15.75" x14ac:dyDescent="0.25">
      <c r="A119" s="248">
        <v>71</v>
      </c>
      <c r="B119" s="110"/>
      <c r="C119" s="126"/>
      <c r="D119" s="145" t="s">
        <v>183</v>
      </c>
      <c r="E119" s="128">
        <f>ROUND(E112+E115+E116+E117+E118,1)</f>
        <v>2293</v>
      </c>
      <c r="F119" s="128">
        <f>ROUND(F112+F115+F116+F117+F118,1)</f>
        <v>2293</v>
      </c>
      <c r="G119" s="129">
        <f t="shared" ref="G119:J119" si="37">ROUND(G112+G115+G116+G117+G118,1)</f>
        <v>0</v>
      </c>
      <c r="H119" s="129">
        <f t="shared" si="37"/>
        <v>99634.4</v>
      </c>
      <c r="I119" s="129">
        <f t="shared" si="37"/>
        <v>99634.4</v>
      </c>
      <c r="J119" s="129">
        <f t="shared" si="37"/>
        <v>0</v>
      </c>
      <c r="K119" s="53"/>
    </row>
    <row r="120" spans="1:11" s="46" customFormat="1" ht="28.5" customHeight="1" x14ac:dyDescent="0.25">
      <c r="A120" s="248">
        <v>103</v>
      </c>
      <c r="B120" s="110">
        <v>103</v>
      </c>
      <c r="C120" s="399" t="s">
        <v>97</v>
      </c>
      <c r="D120" s="400"/>
      <c r="E120" s="116"/>
      <c r="F120" s="116"/>
      <c r="G120" s="121"/>
      <c r="H120" s="121"/>
      <c r="I120" s="121"/>
      <c r="J120" s="121"/>
      <c r="K120" s="53"/>
    </row>
    <row r="121" spans="1:11" s="46" customFormat="1" ht="90" x14ac:dyDescent="0.25">
      <c r="A121" s="248">
        <v>103</v>
      </c>
      <c r="B121" s="110"/>
      <c r="C121" s="107"/>
      <c r="D121" s="108" t="s">
        <v>469</v>
      </c>
      <c r="E121" s="115">
        <f t="shared" ref="E121:E133" si="38">F121+G121</f>
        <v>888</v>
      </c>
      <c r="F121" s="115">
        <v>888</v>
      </c>
      <c r="G121" s="117"/>
      <c r="H121" s="122">
        <f t="shared" ref="H121:H133" si="39">I121+J121</f>
        <v>63787.6</v>
      </c>
      <c r="I121" s="122">
        <v>63787.6</v>
      </c>
      <c r="J121" s="122"/>
      <c r="K121" s="53"/>
    </row>
    <row r="122" spans="1:11" s="46" customFormat="1" ht="30" x14ac:dyDescent="0.25">
      <c r="A122" s="248">
        <v>103</v>
      </c>
      <c r="B122" s="110"/>
      <c r="C122" s="105"/>
      <c r="D122" s="113" t="s">
        <v>182</v>
      </c>
      <c r="E122" s="115">
        <f t="shared" si="38"/>
        <v>193</v>
      </c>
      <c r="F122" s="115">
        <v>193</v>
      </c>
      <c r="G122" s="117"/>
      <c r="H122" s="122">
        <f t="shared" si="39"/>
        <v>18090.2</v>
      </c>
      <c r="I122" s="122">
        <v>18090.2</v>
      </c>
      <c r="J122" s="122"/>
      <c r="K122" s="53"/>
    </row>
    <row r="123" spans="1:11" s="46" customFormat="1" ht="27.75" customHeight="1" x14ac:dyDescent="0.25">
      <c r="A123" s="248">
        <v>103</v>
      </c>
      <c r="B123" s="110"/>
      <c r="C123" s="105"/>
      <c r="D123" s="113" t="s">
        <v>364</v>
      </c>
      <c r="E123" s="115">
        <f t="shared" si="38"/>
        <v>253</v>
      </c>
      <c r="F123" s="115">
        <v>253</v>
      </c>
      <c r="G123" s="117"/>
      <c r="H123" s="122">
        <f t="shared" si="39"/>
        <v>22086.6</v>
      </c>
      <c r="I123" s="122">
        <v>22086.6</v>
      </c>
      <c r="J123" s="122"/>
      <c r="K123" s="53"/>
    </row>
    <row r="124" spans="1:11" s="46" customFormat="1" ht="15.75" x14ac:dyDescent="0.25">
      <c r="A124" s="248">
        <v>103</v>
      </c>
      <c r="B124" s="110"/>
      <c r="C124" s="105"/>
      <c r="D124" s="106" t="s">
        <v>6</v>
      </c>
      <c r="E124" s="115">
        <f t="shared" si="38"/>
        <v>850</v>
      </c>
      <c r="F124" s="115">
        <v>850</v>
      </c>
      <c r="G124" s="117"/>
      <c r="H124" s="122">
        <f t="shared" si="39"/>
        <v>60714.400000000009</v>
      </c>
      <c r="I124" s="122">
        <f>85108.1-24393.7</f>
        <v>60714.400000000009</v>
      </c>
      <c r="J124" s="122"/>
      <c r="K124" s="53"/>
    </row>
    <row r="125" spans="1:11" s="46" customFormat="1" ht="15.75" x14ac:dyDescent="0.25">
      <c r="A125" s="248">
        <v>103</v>
      </c>
      <c r="B125" s="110"/>
      <c r="C125" s="105"/>
      <c r="D125" s="106" t="s">
        <v>16</v>
      </c>
      <c r="E125" s="115">
        <f t="shared" si="38"/>
        <v>900</v>
      </c>
      <c r="F125" s="115">
        <v>900</v>
      </c>
      <c r="G125" s="117"/>
      <c r="H125" s="122">
        <f t="shared" si="39"/>
        <v>52029.1</v>
      </c>
      <c r="I125" s="122">
        <v>52029.1</v>
      </c>
      <c r="J125" s="122"/>
      <c r="K125" s="53"/>
    </row>
    <row r="126" spans="1:11" s="46" customFormat="1" ht="15.75" x14ac:dyDescent="0.25">
      <c r="A126" s="248">
        <v>103</v>
      </c>
      <c r="B126" s="110"/>
      <c r="C126" s="105"/>
      <c r="D126" s="106" t="s">
        <v>9</v>
      </c>
      <c r="E126" s="115">
        <f t="shared" si="38"/>
        <v>595</v>
      </c>
      <c r="F126" s="115">
        <v>595</v>
      </c>
      <c r="G126" s="117"/>
      <c r="H126" s="122">
        <f t="shared" si="39"/>
        <v>89180.5</v>
      </c>
      <c r="I126" s="122">
        <v>89180.5</v>
      </c>
      <c r="J126" s="122"/>
      <c r="K126" s="53"/>
    </row>
    <row r="127" spans="1:11" s="46" customFormat="1" ht="15.75" x14ac:dyDescent="0.25">
      <c r="A127" s="248">
        <v>103</v>
      </c>
      <c r="B127" s="110"/>
      <c r="C127" s="105"/>
      <c r="D127" s="106" t="s">
        <v>184</v>
      </c>
      <c r="E127" s="115">
        <f t="shared" si="38"/>
        <v>7</v>
      </c>
      <c r="F127" s="115">
        <v>7</v>
      </c>
      <c r="G127" s="117"/>
      <c r="H127" s="122">
        <f t="shared" si="39"/>
        <v>890.3</v>
      </c>
      <c r="I127" s="122">
        <v>890.3</v>
      </c>
      <c r="J127" s="122"/>
      <c r="K127" s="53"/>
    </row>
    <row r="128" spans="1:11" s="46" customFormat="1" ht="15.75" x14ac:dyDescent="0.25">
      <c r="A128" s="248">
        <v>103</v>
      </c>
      <c r="B128" s="110"/>
      <c r="C128" s="105"/>
      <c r="D128" s="106" t="s">
        <v>7</v>
      </c>
      <c r="E128" s="115">
        <f t="shared" si="38"/>
        <v>621</v>
      </c>
      <c r="F128" s="115">
        <v>621</v>
      </c>
      <c r="G128" s="117"/>
      <c r="H128" s="122">
        <f t="shared" si="39"/>
        <v>50830.8</v>
      </c>
      <c r="I128" s="122">
        <v>50830.8</v>
      </c>
      <c r="J128" s="122"/>
      <c r="K128" s="53"/>
    </row>
    <row r="129" spans="1:11" s="46" customFormat="1" ht="15.75" x14ac:dyDescent="0.25">
      <c r="A129" s="248">
        <v>103</v>
      </c>
      <c r="B129" s="110"/>
      <c r="C129" s="105"/>
      <c r="D129" s="106" t="s">
        <v>8</v>
      </c>
      <c r="E129" s="115">
        <f t="shared" si="38"/>
        <v>1080</v>
      </c>
      <c r="F129" s="115">
        <v>1080</v>
      </c>
      <c r="G129" s="117"/>
      <c r="H129" s="122">
        <f t="shared" si="39"/>
        <v>50894.100000000006</v>
      </c>
      <c r="I129" s="122">
        <f>65894.1-15000</f>
        <v>50894.100000000006</v>
      </c>
      <c r="J129" s="122"/>
      <c r="K129" s="53"/>
    </row>
    <row r="130" spans="1:11" s="46" customFormat="1" ht="15.75" x14ac:dyDescent="0.25">
      <c r="A130" s="248">
        <v>103</v>
      </c>
      <c r="B130" s="110"/>
      <c r="C130" s="105"/>
      <c r="D130" s="106" t="s">
        <v>5</v>
      </c>
      <c r="E130" s="115">
        <f t="shared" si="38"/>
        <v>586</v>
      </c>
      <c r="F130" s="115">
        <v>586</v>
      </c>
      <c r="G130" s="117"/>
      <c r="H130" s="122">
        <f t="shared" si="39"/>
        <v>27303.800000000003</v>
      </c>
      <c r="I130" s="122">
        <f>42303.8-15000</f>
        <v>27303.800000000003</v>
      </c>
      <c r="J130" s="122"/>
      <c r="K130" s="53"/>
    </row>
    <row r="131" spans="1:11" s="46" customFormat="1" ht="15.75" x14ac:dyDescent="0.25">
      <c r="A131" s="248">
        <v>103</v>
      </c>
      <c r="B131" s="110"/>
      <c r="C131" s="105"/>
      <c r="D131" s="106" t="s">
        <v>196</v>
      </c>
      <c r="E131" s="115">
        <f t="shared" si="38"/>
        <v>30</v>
      </c>
      <c r="F131" s="115">
        <v>30</v>
      </c>
      <c r="G131" s="117"/>
      <c r="H131" s="122">
        <f t="shared" si="39"/>
        <v>4383.6000000000004</v>
      </c>
      <c r="I131" s="122">
        <v>4383.6000000000004</v>
      </c>
      <c r="J131" s="122"/>
      <c r="K131" s="53"/>
    </row>
    <row r="132" spans="1:11" s="46" customFormat="1" ht="15.75" x14ac:dyDescent="0.25">
      <c r="A132" s="248"/>
      <c r="B132" s="110"/>
      <c r="C132" s="105"/>
      <c r="D132" s="106" t="s">
        <v>186</v>
      </c>
      <c r="E132" s="115">
        <f t="shared" si="38"/>
        <v>30</v>
      </c>
      <c r="F132" s="115">
        <v>30</v>
      </c>
      <c r="G132" s="117"/>
      <c r="H132" s="122">
        <f t="shared" si="39"/>
        <v>2067</v>
      </c>
      <c r="I132" s="122">
        <v>2067</v>
      </c>
      <c r="J132" s="122"/>
      <c r="K132" s="53"/>
    </row>
    <row r="133" spans="1:11" s="46" customFormat="1" ht="15.75" x14ac:dyDescent="0.25">
      <c r="A133" s="248">
        <v>103</v>
      </c>
      <c r="B133" s="110"/>
      <c r="C133" s="105"/>
      <c r="D133" s="106" t="s">
        <v>4</v>
      </c>
      <c r="E133" s="115">
        <f t="shared" si="38"/>
        <v>970</v>
      </c>
      <c r="F133" s="115">
        <v>970</v>
      </c>
      <c r="G133" s="117"/>
      <c r="H133" s="122">
        <f t="shared" si="39"/>
        <v>67367.199999999997</v>
      </c>
      <c r="I133" s="122">
        <v>67367.199999999997</v>
      </c>
      <c r="J133" s="122"/>
      <c r="K133" s="53"/>
    </row>
    <row r="134" spans="1:11" s="46" customFormat="1" ht="15.75" x14ac:dyDescent="0.25">
      <c r="A134" s="248">
        <v>103</v>
      </c>
      <c r="B134" s="110"/>
      <c r="C134" s="148"/>
      <c r="D134" s="127" t="s">
        <v>183</v>
      </c>
      <c r="E134" s="128">
        <f>ROUND(E121+E124+E125+E126+E127+E128+E129+E130+E133+E131+E132,1)</f>
        <v>6557</v>
      </c>
      <c r="F134" s="128">
        <f t="shared" ref="F134:G134" si="40">ROUND(F121+F124+F125+F126+F127+F128+F129+F130+F133+F131+F132,1)</f>
        <v>6557</v>
      </c>
      <c r="G134" s="128">
        <f t="shared" si="40"/>
        <v>0</v>
      </c>
      <c r="H134" s="129">
        <f>ROUND(H121+H124+H125+H126+H127+H128+H129+H130+H133+H131+H132,1)</f>
        <v>469448.4</v>
      </c>
      <c r="I134" s="129">
        <f t="shared" ref="I134:J134" si="41">ROUND(I121+I124+I125+I126+I127+I128+I129+I130+I133+I131+I132,1)</f>
        <v>469448.4</v>
      </c>
      <c r="J134" s="129">
        <f t="shared" si="41"/>
        <v>0</v>
      </c>
      <c r="K134" s="53"/>
    </row>
    <row r="135" spans="1:11" s="46" customFormat="1" ht="28.5" customHeight="1" x14ac:dyDescent="0.25">
      <c r="A135" s="248">
        <v>73</v>
      </c>
      <c r="B135" s="104">
        <v>73</v>
      </c>
      <c r="C135" s="399" t="s">
        <v>98</v>
      </c>
      <c r="D135" s="400"/>
      <c r="E135" s="115"/>
      <c r="F135" s="115"/>
      <c r="G135" s="117"/>
      <c r="H135" s="122"/>
      <c r="I135" s="122"/>
      <c r="J135" s="122"/>
      <c r="K135" s="53"/>
    </row>
    <row r="136" spans="1:11" s="46" customFormat="1" ht="90" x14ac:dyDescent="0.25">
      <c r="A136" s="248">
        <v>73</v>
      </c>
      <c r="B136" s="104"/>
      <c r="C136" s="105"/>
      <c r="D136" s="108" t="s">
        <v>469</v>
      </c>
      <c r="E136" s="115">
        <f t="shared" ref="E136:E143" si="42">F136+G136</f>
        <v>159</v>
      </c>
      <c r="F136" s="115">
        <v>159</v>
      </c>
      <c r="G136" s="117"/>
      <c r="H136" s="122">
        <f t="shared" ref="H136:H143" si="43">I136+J136</f>
        <v>5083</v>
      </c>
      <c r="I136" s="122">
        <v>5083</v>
      </c>
      <c r="J136" s="122"/>
      <c r="K136" s="53"/>
    </row>
    <row r="137" spans="1:11" s="46" customFormat="1" ht="19.5" customHeight="1" x14ac:dyDescent="0.25">
      <c r="A137" s="248">
        <v>73</v>
      </c>
      <c r="B137" s="104"/>
      <c r="C137" s="105"/>
      <c r="D137" s="113" t="s">
        <v>364</v>
      </c>
      <c r="E137" s="115">
        <f t="shared" si="42"/>
        <v>18</v>
      </c>
      <c r="F137" s="115">
        <v>18</v>
      </c>
      <c r="G137" s="117"/>
      <c r="H137" s="122">
        <f t="shared" si="43"/>
        <v>1476</v>
      </c>
      <c r="I137" s="122">
        <v>1476</v>
      </c>
      <c r="J137" s="122"/>
      <c r="K137" s="53"/>
    </row>
    <row r="138" spans="1:11" s="46" customFormat="1" ht="15.75" x14ac:dyDescent="0.25">
      <c r="A138" s="248">
        <v>73</v>
      </c>
      <c r="B138" s="104"/>
      <c r="C138" s="105"/>
      <c r="D138" s="106" t="s">
        <v>6</v>
      </c>
      <c r="E138" s="115">
        <f t="shared" si="42"/>
        <v>400</v>
      </c>
      <c r="F138" s="115">
        <v>400</v>
      </c>
      <c r="G138" s="117"/>
      <c r="H138" s="122">
        <f t="shared" si="43"/>
        <v>18916.5</v>
      </c>
      <c r="I138" s="122">
        <v>18916.5</v>
      </c>
      <c r="J138" s="122"/>
      <c r="K138" s="53"/>
    </row>
    <row r="139" spans="1:11" s="46" customFormat="1" ht="15.75" x14ac:dyDescent="0.25">
      <c r="A139" s="248">
        <v>73</v>
      </c>
      <c r="B139" s="104"/>
      <c r="C139" s="105"/>
      <c r="D139" s="106" t="s">
        <v>9</v>
      </c>
      <c r="E139" s="115">
        <f t="shared" si="42"/>
        <v>200</v>
      </c>
      <c r="F139" s="115">
        <v>200</v>
      </c>
      <c r="G139" s="117"/>
      <c r="H139" s="122">
        <f t="shared" si="43"/>
        <v>8189.1</v>
      </c>
      <c r="I139" s="122">
        <v>8189.1</v>
      </c>
      <c r="J139" s="122"/>
      <c r="K139" s="53"/>
    </row>
    <row r="140" spans="1:11" s="46" customFormat="1" ht="15.75" x14ac:dyDescent="0.25">
      <c r="A140" s="248">
        <v>73</v>
      </c>
      <c r="B140" s="104"/>
      <c r="C140" s="105"/>
      <c r="D140" s="106" t="s">
        <v>7</v>
      </c>
      <c r="E140" s="115">
        <f t="shared" si="42"/>
        <v>280</v>
      </c>
      <c r="F140" s="115">
        <v>280</v>
      </c>
      <c r="G140" s="117"/>
      <c r="H140" s="122">
        <f t="shared" si="43"/>
        <v>12691.6</v>
      </c>
      <c r="I140" s="122">
        <v>12691.6</v>
      </c>
      <c r="J140" s="122"/>
      <c r="K140" s="53"/>
    </row>
    <row r="141" spans="1:11" s="46" customFormat="1" ht="15.75" x14ac:dyDescent="0.25">
      <c r="A141" s="248">
        <v>73</v>
      </c>
      <c r="B141" s="104"/>
      <c r="C141" s="105"/>
      <c r="D141" s="106" t="s">
        <v>8</v>
      </c>
      <c r="E141" s="115">
        <f t="shared" si="42"/>
        <v>310</v>
      </c>
      <c r="F141" s="115">
        <v>310</v>
      </c>
      <c r="G141" s="117"/>
      <c r="H141" s="122">
        <f t="shared" si="43"/>
        <v>15852.4</v>
      </c>
      <c r="I141" s="122">
        <v>15852.4</v>
      </c>
      <c r="J141" s="122"/>
      <c r="K141" s="53"/>
    </row>
    <row r="142" spans="1:11" s="46" customFormat="1" ht="15.75" x14ac:dyDescent="0.25">
      <c r="A142" s="248">
        <v>73</v>
      </c>
      <c r="B142" s="104"/>
      <c r="C142" s="105"/>
      <c r="D142" s="106" t="s">
        <v>4</v>
      </c>
      <c r="E142" s="115">
        <f t="shared" si="42"/>
        <v>481</v>
      </c>
      <c r="F142" s="115">
        <v>481</v>
      </c>
      <c r="G142" s="117"/>
      <c r="H142" s="122">
        <f t="shared" si="43"/>
        <v>23803.3</v>
      </c>
      <c r="I142" s="122">
        <v>23803.3</v>
      </c>
      <c r="J142" s="122"/>
      <c r="K142" s="53"/>
    </row>
    <row r="143" spans="1:11" s="46" customFormat="1" ht="15.75" x14ac:dyDescent="0.25">
      <c r="A143" s="248">
        <v>73</v>
      </c>
      <c r="B143" s="104"/>
      <c r="C143" s="107"/>
      <c r="D143" s="106" t="s">
        <v>16</v>
      </c>
      <c r="E143" s="115">
        <f t="shared" si="42"/>
        <v>270</v>
      </c>
      <c r="F143" s="115">
        <v>270</v>
      </c>
      <c r="G143" s="115"/>
      <c r="H143" s="122">
        <f t="shared" si="43"/>
        <v>10539.800000000001</v>
      </c>
      <c r="I143" s="122">
        <v>10539.800000000001</v>
      </c>
      <c r="J143" s="122"/>
      <c r="K143" s="53"/>
    </row>
    <row r="144" spans="1:11" s="46" customFormat="1" ht="15.75" x14ac:dyDescent="0.25">
      <c r="A144" s="248">
        <v>73</v>
      </c>
      <c r="B144" s="104"/>
      <c r="C144" s="130"/>
      <c r="D144" s="127" t="s">
        <v>183</v>
      </c>
      <c r="E144" s="128">
        <f>ROUND(E135+E136+E138+E139+E140+E141+E142+E143,0)</f>
        <v>2100</v>
      </c>
      <c r="F144" s="128">
        <f>ROUND(F135+F136+F138+F139+F140+F141+F142+F143,0)</f>
        <v>2100</v>
      </c>
      <c r="G144" s="128">
        <f>ROUND(G135+G136+G138+G139+G140+G141+G142+G143,0)</f>
        <v>0</v>
      </c>
      <c r="H144" s="129">
        <f>ROUND(H135+H136+H138+H139+H140+H141+H142+H143,1)</f>
        <v>95075.7</v>
      </c>
      <c r="I144" s="129">
        <f>ROUND(I135+I136+I138+I139+I140+I141+I142+I143,1)</f>
        <v>95075.7</v>
      </c>
      <c r="J144" s="129">
        <f>ROUND(J135+J136+J138+J139+J140+J141+J142+J143,1)</f>
        <v>0</v>
      </c>
      <c r="K144" s="53"/>
    </row>
    <row r="145" spans="1:11" s="46" customFormat="1" ht="20.25" customHeight="1" x14ac:dyDescent="0.25">
      <c r="A145" s="248">
        <v>75</v>
      </c>
      <c r="B145" s="104">
        <v>75</v>
      </c>
      <c r="C145" s="399" t="s">
        <v>200</v>
      </c>
      <c r="D145" s="400"/>
      <c r="E145" s="115"/>
      <c r="F145" s="115"/>
      <c r="G145" s="117"/>
      <c r="H145" s="122"/>
      <c r="I145" s="122"/>
      <c r="J145" s="122"/>
      <c r="K145" s="53"/>
    </row>
    <row r="146" spans="1:11" s="46" customFormat="1" ht="28.5" customHeight="1" x14ac:dyDescent="0.25">
      <c r="A146" s="248">
        <v>75</v>
      </c>
      <c r="B146" s="104"/>
      <c r="C146" s="105"/>
      <c r="D146" s="108" t="s">
        <v>469</v>
      </c>
      <c r="E146" s="115">
        <f t="shared" ref="E146:E155" si="44">F146+G146</f>
        <v>398</v>
      </c>
      <c r="F146" s="115">
        <v>398</v>
      </c>
      <c r="G146" s="117"/>
      <c r="H146" s="122">
        <f t="shared" ref="H146:H155" si="45">I146+J146</f>
        <v>14580.6</v>
      </c>
      <c r="I146" s="122">
        <f>24744.5-10163.9</f>
        <v>14580.6</v>
      </c>
      <c r="J146" s="122"/>
      <c r="K146" s="53"/>
    </row>
    <row r="147" spans="1:11" s="46" customFormat="1" ht="30" x14ac:dyDescent="0.25">
      <c r="A147" s="248">
        <v>75</v>
      </c>
      <c r="B147" s="104"/>
      <c r="C147" s="105"/>
      <c r="D147" s="113" t="s">
        <v>182</v>
      </c>
      <c r="E147" s="115">
        <f t="shared" si="44"/>
        <v>130</v>
      </c>
      <c r="F147" s="115">
        <v>130</v>
      </c>
      <c r="G147" s="117"/>
      <c r="H147" s="122">
        <f t="shared" si="45"/>
        <v>8361.7999999999993</v>
      </c>
      <c r="I147" s="122">
        <v>8361.7999999999993</v>
      </c>
      <c r="J147" s="122"/>
      <c r="K147" s="53"/>
    </row>
    <row r="148" spans="1:11" s="46" customFormat="1" ht="30.75" customHeight="1" x14ac:dyDescent="0.25">
      <c r="A148" s="248">
        <v>75</v>
      </c>
      <c r="B148" s="104"/>
      <c r="C148" s="105"/>
      <c r="D148" s="113" t="s">
        <v>364</v>
      </c>
      <c r="E148" s="115">
        <f t="shared" si="44"/>
        <v>162</v>
      </c>
      <c r="F148" s="115">
        <v>162</v>
      </c>
      <c r="G148" s="117"/>
      <c r="H148" s="122">
        <f t="shared" si="45"/>
        <v>9616.1</v>
      </c>
      <c r="I148" s="122">
        <v>9616.1</v>
      </c>
      <c r="J148" s="122"/>
      <c r="K148" s="53"/>
    </row>
    <row r="149" spans="1:11" s="46" customFormat="1" ht="17.25" customHeight="1" x14ac:dyDescent="0.25">
      <c r="A149" s="248">
        <v>75</v>
      </c>
      <c r="B149" s="104"/>
      <c r="C149" s="105"/>
      <c r="D149" s="106" t="s">
        <v>6</v>
      </c>
      <c r="E149" s="115">
        <f t="shared" si="44"/>
        <v>123</v>
      </c>
      <c r="F149" s="115">
        <v>123</v>
      </c>
      <c r="G149" s="117"/>
      <c r="H149" s="122">
        <f t="shared" si="45"/>
        <v>6493.6</v>
      </c>
      <c r="I149" s="122">
        <v>6493.6</v>
      </c>
      <c r="J149" s="122"/>
      <c r="K149" s="53"/>
    </row>
    <row r="150" spans="1:11" s="46" customFormat="1" ht="15.75" x14ac:dyDescent="0.25">
      <c r="A150" s="248">
        <v>75</v>
      </c>
      <c r="B150" s="104"/>
      <c r="C150" s="105"/>
      <c r="D150" s="106" t="s">
        <v>9</v>
      </c>
      <c r="E150" s="115">
        <f t="shared" si="44"/>
        <v>163</v>
      </c>
      <c r="F150" s="115">
        <v>163</v>
      </c>
      <c r="G150" s="117"/>
      <c r="H150" s="122">
        <f t="shared" si="45"/>
        <v>8110.7</v>
      </c>
      <c r="I150" s="122">
        <v>8110.7</v>
      </c>
      <c r="J150" s="122"/>
      <c r="K150" s="53"/>
    </row>
    <row r="151" spans="1:11" s="46" customFormat="1" ht="15.75" x14ac:dyDescent="0.25">
      <c r="A151" s="248">
        <v>75</v>
      </c>
      <c r="B151" s="104"/>
      <c r="C151" s="105"/>
      <c r="D151" s="106" t="s">
        <v>7</v>
      </c>
      <c r="E151" s="115">
        <f t="shared" si="44"/>
        <v>285</v>
      </c>
      <c r="F151" s="115">
        <v>285</v>
      </c>
      <c r="G151" s="117"/>
      <c r="H151" s="122">
        <f t="shared" si="45"/>
        <v>14843.5</v>
      </c>
      <c r="I151" s="122">
        <f>22843.5-8000</f>
        <v>14843.5</v>
      </c>
      <c r="J151" s="122"/>
      <c r="K151" s="53"/>
    </row>
    <row r="152" spans="1:11" s="46" customFormat="1" ht="15.75" x14ac:dyDescent="0.25">
      <c r="A152" s="248">
        <v>75</v>
      </c>
      <c r="B152" s="104"/>
      <c r="C152" s="105"/>
      <c r="D152" s="106" t="s">
        <v>8</v>
      </c>
      <c r="E152" s="115">
        <f t="shared" si="44"/>
        <v>413</v>
      </c>
      <c r="F152" s="115">
        <v>413</v>
      </c>
      <c r="G152" s="117"/>
      <c r="H152" s="122">
        <f t="shared" si="45"/>
        <v>28129.9</v>
      </c>
      <c r="I152" s="122">
        <v>28129.9</v>
      </c>
      <c r="J152" s="122"/>
      <c r="K152" s="53"/>
    </row>
    <row r="153" spans="1:11" s="46" customFormat="1" ht="15.75" x14ac:dyDescent="0.25">
      <c r="A153" s="248">
        <v>75</v>
      </c>
      <c r="B153" s="104"/>
      <c r="C153" s="105"/>
      <c r="D153" s="106" t="s">
        <v>5</v>
      </c>
      <c r="E153" s="115">
        <f t="shared" si="44"/>
        <v>75</v>
      </c>
      <c r="F153" s="115">
        <v>75</v>
      </c>
      <c r="G153" s="117"/>
      <c r="H153" s="122">
        <f t="shared" si="45"/>
        <v>3477.4</v>
      </c>
      <c r="I153" s="122">
        <v>3477.4</v>
      </c>
      <c r="J153" s="122"/>
      <c r="K153" s="53"/>
    </row>
    <row r="154" spans="1:11" s="46" customFormat="1" ht="15.75" x14ac:dyDescent="0.25">
      <c r="A154" s="248">
        <v>75</v>
      </c>
      <c r="B154" s="104"/>
      <c r="C154" s="105"/>
      <c r="D154" s="106" t="s">
        <v>13</v>
      </c>
      <c r="E154" s="115">
        <f t="shared" si="44"/>
        <v>111</v>
      </c>
      <c r="F154" s="115">
        <v>111</v>
      </c>
      <c r="G154" s="117"/>
      <c r="H154" s="122">
        <f t="shared" si="45"/>
        <v>5176.8</v>
      </c>
      <c r="I154" s="122">
        <v>5176.8</v>
      </c>
      <c r="J154" s="122"/>
      <c r="K154" s="53"/>
    </row>
    <row r="155" spans="1:11" s="46" customFormat="1" ht="15.75" x14ac:dyDescent="0.25">
      <c r="A155" s="248">
        <v>75</v>
      </c>
      <c r="B155" s="104"/>
      <c r="C155" s="107"/>
      <c r="D155" s="106" t="s">
        <v>4</v>
      </c>
      <c r="E155" s="115">
        <f t="shared" si="44"/>
        <v>462</v>
      </c>
      <c r="F155" s="115">
        <v>462</v>
      </c>
      <c r="G155" s="115"/>
      <c r="H155" s="122">
        <f t="shared" si="45"/>
        <v>23903.1</v>
      </c>
      <c r="I155" s="122">
        <v>23903.1</v>
      </c>
      <c r="J155" s="122"/>
      <c r="K155" s="53"/>
    </row>
    <row r="156" spans="1:11" s="46" customFormat="1" ht="15.75" x14ac:dyDescent="0.25">
      <c r="A156" s="248">
        <v>75</v>
      </c>
      <c r="B156" s="104"/>
      <c r="C156" s="126"/>
      <c r="D156" s="145" t="s">
        <v>183</v>
      </c>
      <c r="E156" s="128">
        <f>ROUND(E145+E146+E149+E150+E151+E152+E153+E154+E155,1)</f>
        <v>2030</v>
      </c>
      <c r="F156" s="128">
        <f>ROUND(F145+F146+F149+F150+F151+F152+F153+F154+F155,1)</f>
        <v>2030</v>
      </c>
      <c r="G156" s="128">
        <f t="shared" ref="G156:J156" si="46">ROUND(G145+G146+G149+G150+G151+G152+G153+G154+G155,1)</f>
        <v>0</v>
      </c>
      <c r="H156" s="129">
        <f t="shared" si="46"/>
        <v>104715.6</v>
      </c>
      <c r="I156" s="129">
        <f t="shared" si="46"/>
        <v>104715.6</v>
      </c>
      <c r="J156" s="129">
        <f t="shared" si="46"/>
        <v>0</v>
      </c>
      <c r="K156" s="53"/>
    </row>
    <row r="157" spans="1:11" s="46" customFormat="1" ht="24.75" customHeight="1" x14ac:dyDescent="0.25">
      <c r="A157" s="250">
        <f>B157</f>
        <v>275</v>
      </c>
      <c r="B157" s="110">
        <v>275</v>
      </c>
      <c r="C157" s="399" t="s">
        <v>201</v>
      </c>
      <c r="D157" s="400"/>
      <c r="E157" s="116"/>
      <c r="F157" s="116"/>
      <c r="G157" s="116"/>
      <c r="H157" s="121"/>
      <c r="I157" s="121"/>
      <c r="J157" s="121"/>
      <c r="K157" s="53"/>
    </row>
    <row r="158" spans="1:11" s="46" customFormat="1" ht="15.75" x14ac:dyDescent="0.25">
      <c r="A158" s="248">
        <v>275</v>
      </c>
      <c r="B158" s="110"/>
      <c r="C158" s="107"/>
      <c r="D158" s="95" t="s">
        <v>8</v>
      </c>
      <c r="E158" s="115">
        <f>F158+G158</f>
        <v>535</v>
      </c>
      <c r="F158" s="115">
        <f>395+200-60</f>
        <v>535</v>
      </c>
      <c r="G158" s="117"/>
      <c r="H158" s="122">
        <f>I158+J158</f>
        <v>17991.5</v>
      </c>
      <c r="I158" s="122">
        <f>13478.8+6530.5-2017.8</f>
        <v>17991.5</v>
      </c>
      <c r="J158" s="122"/>
      <c r="K158" s="53"/>
    </row>
    <row r="159" spans="1:11" s="46" customFormat="1" ht="15.75" x14ac:dyDescent="0.25">
      <c r="A159" s="248">
        <v>275</v>
      </c>
      <c r="B159" s="110"/>
      <c r="C159" s="149"/>
      <c r="D159" s="132" t="s">
        <v>183</v>
      </c>
      <c r="E159" s="128">
        <f>ROUND(E158,0)</f>
        <v>535</v>
      </c>
      <c r="F159" s="128">
        <f>ROUND(F158,0)</f>
        <v>535</v>
      </c>
      <c r="G159" s="128">
        <f>ROUND(G158,0)</f>
        <v>0</v>
      </c>
      <c r="H159" s="129">
        <f t="shared" ref="H159:J159" si="47">ROUND(H158,1)</f>
        <v>17991.5</v>
      </c>
      <c r="I159" s="129">
        <f t="shared" si="47"/>
        <v>17991.5</v>
      </c>
      <c r="J159" s="129">
        <f t="shared" si="47"/>
        <v>0</v>
      </c>
      <c r="K159" s="53"/>
    </row>
    <row r="160" spans="1:11" s="46" customFormat="1" ht="20.25" customHeight="1" x14ac:dyDescent="0.25">
      <c r="A160" s="248">
        <v>140</v>
      </c>
      <c r="B160" s="104">
        <v>140</v>
      </c>
      <c r="C160" s="399" t="s">
        <v>495</v>
      </c>
      <c r="D160" s="400"/>
      <c r="E160" s="115"/>
      <c r="F160" s="115"/>
      <c r="G160" s="117"/>
      <c r="H160" s="122"/>
      <c r="I160" s="122"/>
      <c r="J160" s="122"/>
      <c r="K160" s="53"/>
    </row>
    <row r="161" spans="1:11" s="46" customFormat="1" ht="15.75" x14ac:dyDescent="0.25">
      <c r="A161" s="248">
        <v>140</v>
      </c>
      <c r="B161" s="104"/>
      <c r="C161" s="105"/>
      <c r="D161" s="106" t="s">
        <v>6</v>
      </c>
      <c r="E161" s="115">
        <f t="shared" ref="E161:E167" si="48">F161+G161</f>
        <v>3495</v>
      </c>
      <c r="F161" s="115">
        <f>1664+116+1884-169</f>
        <v>3495</v>
      </c>
      <c r="G161" s="117"/>
      <c r="H161" s="122">
        <f t="shared" ref="H161:H167" si="49">I161+J161</f>
        <v>227475.80000000002</v>
      </c>
      <c r="I161" s="122">
        <f>109276.1+11566.4+113026.1-6392.8</f>
        <v>227475.80000000002</v>
      </c>
      <c r="J161" s="122"/>
      <c r="K161" s="53"/>
    </row>
    <row r="162" spans="1:11" s="46" customFormat="1" ht="15.75" x14ac:dyDescent="0.25">
      <c r="A162" s="248">
        <v>140</v>
      </c>
      <c r="B162" s="104"/>
      <c r="C162" s="105"/>
      <c r="D162" s="106" t="s">
        <v>8</v>
      </c>
      <c r="E162" s="115">
        <f t="shared" si="48"/>
        <v>1915</v>
      </c>
      <c r="F162" s="115">
        <v>1915</v>
      </c>
      <c r="G162" s="117"/>
      <c r="H162" s="122">
        <f t="shared" si="49"/>
        <v>130242.2</v>
      </c>
      <c r="I162" s="122">
        <v>130242.2</v>
      </c>
      <c r="J162" s="122"/>
      <c r="K162" s="53"/>
    </row>
    <row r="163" spans="1:11" s="46" customFormat="1" ht="15.75" x14ac:dyDescent="0.25">
      <c r="A163" s="248">
        <v>140</v>
      </c>
      <c r="B163" s="104"/>
      <c r="C163" s="105"/>
      <c r="D163" s="106" t="s">
        <v>13</v>
      </c>
      <c r="E163" s="115">
        <f t="shared" si="48"/>
        <v>2017</v>
      </c>
      <c r="F163" s="115">
        <v>1994</v>
      </c>
      <c r="G163" s="117">
        <f>16+7</f>
        <v>23</v>
      </c>
      <c r="H163" s="122">
        <f t="shared" si="49"/>
        <v>141741.6</v>
      </c>
      <c r="I163" s="122">
        <v>138317.70000000001</v>
      </c>
      <c r="J163" s="122">
        <f>2463.8+960+0.1</f>
        <v>3423.9</v>
      </c>
      <c r="K163" s="53"/>
    </row>
    <row r="164" spans="1:11" s="46" customFormat="1" ht="22.5" customHeight="1" x14ac:dyDescent="0.25">
      <c r="A164" s="248">
        <v>140</v>
      </c>
      <c r="B164" s="104"/>
      <c r="C164" s="105"/>
      <c r="D164" s="106" t="s">
        <v>4</v>
      </c>
      <c r="E164" s="115">
        <f t="shared" si="48"/>
        <v>1931</v>
      </c>
      <c r="F164" s="115">
        <v>1931</v>
      </c>
      <c r="G164" s="117"/>
      <c r="H164" s="122">
        <f t="shared" si="49"/>
        <v>130475.5</v>
      </c>
      <c r="I164" s="122">
        <v>130475.5</v>
      </c>
      <c r="J164" s="122"/>
      <c r="K164" s="53"/>
    </row>
    <row r="165" spans="1:11" s="46" customFormat="1" ht="15.75" x14ac:dyDescent="0.25">
      <c r="A165" s="248">
        <v>140</v>
      </c>
      <c r="B165" s="104"/>
      <c r="C165" s="105"/>
      <c r="D165" s="106" t="s">
        <v>9</v>
      </c>
      <c r="E165" s="115">
        <f t="shared" si="48"/>
        <v>1085</v>
      </c>
      <c r="F165" s="115">
        <v>1085</v>
      </c>
      <c r="G165" s="117"/>
      <c r="H165" s="122">
        <f t="shared" si="49"/>
        <v>46526.8</v>
      </c>
      <c r="I165" s="122">
        <v>46526.8</v>
      </c>
      <c r="J165" s="122"/>
      <c r="K165" s="53"/>
    </row>
    <row r="166" spans="1:11" s="46" customFormat="1" ht="15.75" x14ac:dyDescent="0.25">
      <c r="A166" s="248">
        <v>140</v>
      </c>
      <c r="B166" s="104"/>
      <c r="C166" s="105"/>
      <c r="D166" s="106" t="s">
        <v>12</v>
      </c>
      <c r="E166" s="115">
        <f t="shared" si="48"/>
        <v>1067</v>
      </c>
      <c r="F166" s="115">
        <v>1067</v>
      </c>
      <c r="G166" s="117"/>
      <c r="H166" s="122">
        <f t="shared" si="49"/>
        <v>57017.4</v>
      </c>
      <c r="I166" s="122">
        <f>57017.4</f>
        <v>57017.4</v>
      </c>
      <c r="J166" s="122"/>
      <c r="K166" s="53"/>
    </row>
    <row r="167" spans="1:11" s="46" customFormat="1" ht="15.75" x14ac:dyDescent="0.25">
      <c r="A167" s="248">
        <v>140</v>
      </c>
      <c r="B167" s="104"/>
      <c r="C167" s="107"/>
      <c r="D167" s="106" t="s">
        <v>16</v>
      </c>
      <c r="E167" s="115">
        <f t="shared" si="48"/>
        <v>1339</v>
      </c>
      <c r="F167" s="115">
        <f>1339</f>
        <v>1339</v>
      </c>
      <c r="G167" s="115"/>
      <c r="H167" s="122">
        <f t="shared" si="49"/>
        <v>64362.6</v>
      </c>
      <c r="I167" s="122">
        <v>64362.6</v>
      </c>
      <c r="J167" s="122"/>
      <c r="K167" s="53"/>
    </row>
    <row r="168" spans="1:11" s="46" customFormat="1" ht="15.75" x14ac:dyDescent="0.25">
      <c r="A168" s="248">
        <v>140</v>
      </c>
      <c r="B168" s="104"/>
      <c r="C168" s="126"/>
      <c r="D168" s="127" t="s">
        <v>183</v>
      </c>
      <c r="E168" s="128">
        <f>ROUND(E160+E161+E162+E163+E164+E165+E166+E167,0)</f>
        <v>12849</v>
      </c>
      <c r="F168" s="128">
        <f>ROUND(F160+F161+F162+F163+F164+F165+F166+F167,0)</f>
        <v>12826</v>
      </c>
      <c r="G168" s="128">
        <f>ROUND(G160+G161+G162+G163+G164+G165+G166+G167,0)</f>
        <v>23</v>
      </c>
      <c r="H168" s="129">
        <f>ROUND(H160+H161+H162+H163+H164+H165+H166+H167,1)</f>
        <v>797841.9</v>
      </c>
      <c r="I168" s="129">
        <f>ROUND(I160+I161+I162+I163+I164+I165+I166+I167,1)</f>
        <v>794418</v>
      </c>
      <c r="J168" s="129">
        <f>ROUND(J160+J161+J162+J163+J164+J165+J166+J167,1)</f>
        <v>3423.9</v>
      </c>
      <c r="K168" s="53"/>
    </row>
    <row r="169" spans="1:11" s="46" customFormat="1" ht="19.5" customHeight="1" x14ac:dyDescent="0.25">
      <c r="A169" s="248">
        <v>49</v>
      </c>
      <c r="B169" s="104">
        <v>49</v>
      </c>
      <c r="C169" s="399" t="s">
        <v>99</v>
      </c>
      <c r="D169" s="400"/>
      <c r="E169" s="115"/>
      <c r="F169" s="115"/>
      <c r="G169" s="117"/>
      <c r="H169" s="122"/>
      <c r="I169" s="122"/>
      <c r="J169" s="122"/>
      <c r="K169" s="53"/>
    </row>
    <row r="170" spans="1:11" s="46" customFormat="1" ht="15.75" x14ac:dyDescent="0.25">
      <c r="A170" s="248">
        <v>49</v>
      </c>
      <c r="B170" s="104"/>
      <c r="C170" s="105"/>
      <c r="D170" s="106" t="s">
        <v>196</v>
      </c>
      <c r="E170" s="115">
        <f t="shared" ref="E170:E171" si="50">F170+G170</f>
        <v>650</v>
      </c>
      <c r="F170" s="115">
        <f>700-50</f>
        <v>650</v>
      </c>
      <c r="G170" s="117"/>
      <c r="H170" s="122">
        <f t="shared" ref="H170:H171" si="51">I170+J170</f>
        <v>44311.700000000004</v>
      </c>
      <c r="I170" s="122">
        <f>49251.3-1389.2-3550.4</f>
        <v>44311.700000000004</v>
      </c>
      <c r="J170" s="122"/>
      <c r="K170" s="53"/>
    </row>
    <row r="171" spans="1:11" s="46" customFormat="1" ht="15.75" x14ac:dyDescent="0.25">
      <c r="A171" s="248">
        <v>49</v>
      </c>
      <c r="B171" s="104"/>
      <c r="C171" s="105"/>
      <c r="D171" s="106" t="s">
        <v>5</v>
      </c>
      <c r="E171" s="115">
        <f t="shared" si="50"/>
        <v>630</v>
      </c>
      <c r="F171" s="115">
        <f>450+50</f>
        <v>500</v>
      </c>
      <c r="G171" s="117">
        <v>130</v>
      </c>
      <c r="H171" s="122">
        <f t="shared" si="51"/>
        <v>52931</v>
      </c>
      <c r="I171" s="122">
        <f>27844.2+1389.2-8514.2</f>
        <v>20719.2</v>
      </c>
      <c r="J171" s="122">
        <f>31644.7+340.7+226.4</f>
        <v>32211.800000000003</v>
      </c>
      <c r="K171" s="53"/>
    </row>
    <row r="172" spans="1:11" s="46" customFormat="1" ht="18.75" customHeight="1" x14ac:dyDescent="0.25">
      <c r="A172" s="248">
        <v>49</v>
      </c>
      <c r="B172" s="104"/>
      <c r="C172" s="130"/>
      <c r="D172" s="145" t="s">
        <v>183</v>
      </c>
      <c r="E172" s="128">
        <f>ROUND(E169+E170+E171,1)</f>
        <v>1280</v>
      </c>
      <c r="F172" s="128">
        <f>ROUND(F169+F170+F171,1)</f>
        <v>1150</v>
      </c>
      <c r="G172" s="128">
        <f t="shared" ref="G172:J172" si="52">ROUND(G169+G170+G171,1)</f>
        <v>130</v>
      </c>
      <c r="H172" s="129">
        <f t="shared" si="52"/>
        <v>97242.7</v>
      </c>
      <c r="I172" s="129">
        <f t="shared" si="52"/>
        <v>65030.9</v>
      </c>
      <c r="J172" s="129">
        <f t="shared" si="52"/>
        <v>32211.8</v>
      </c>
      <c r="K172" s="53"/>
    </row>
    <row r="173" spans="1:11" s="46" customFormat="1" ht="28.5" customHeight="1" x14ac:dyDescent="0.25">
      <c r="A173" s="248">
        <v>292</v>
      </c>
      <c r="B173" s="110">
        <v>292</v>
      </c>
      <c r="C173" s="399" t="s">
        <v>22</v>
      </c>
      <c r="D173" s="400"/>
      <c r="E173" s="116"/>
      <c r="F173" s="116"/>
      <c r="G173" s="116"/>
      <c r="H173" s="121"/>
      <c r="I173" s="121"/>
      <c r="J173" s="121"/>
      <c r="K173" s="53"/>
    </row>
    <row r="174" spans="1:11" s="46" customFormat="1" ht="99.75" customHeight="1" x14ac:dyDescent="0.25">
      <c r="A174" s="248">
        <v>292</v>
      </c>
      <c r="B174" s="110"/>
      <c r="C174" s="107"/>
      <c r="D174" s="108" t="s">
        <v>469</v>
      </c>
      <c r="E174" s="115">
        <f t="shared" ref="E174:E178" si="53">F174+G174</f>
        <v>4105</v>
      </c>
      <c r="F174" s="115">
        <v>4105</v>
      </c>
      <c r="G174" s="117">
        <f>10-10</f>
        <v>0</v>
      </c>
      <c r="H174" s="122">
        <f t="shared" ref="H174:H178" si="54">I174+J174</f>
        <v>331339.8</v>
      </c>
      <c r="I174" s="122">
        <v>331339.8</v>
      </c>
      <c r="J174" s="122">
        <f>1889.6-1889.6</f>
        <v>0</v>
      </c>
      <c r="K174" s="53"/>
    </row>
    <row r="175" spans="1:11" s="46" customFormat="1" ht="30" x14ac:dyDescent="0.25">
      <c r="A175" s="248">
        <v>292</v>
      </c>
      <c r="B175" s="110"/>
      <c r="C175" s="105"/>
      <c r="D175" s="113" t="s">
        <v>182</v>
      </c>
      <c r="E175" s="115">
        <f t="shared" si="53"/>
        <v>2550</v>
      </c>
      <c r="F175" s="115">
        <v>2550</v>
      </c>
      <c r="G175" s="115"/>
      <c r="H175" s="122">
        <f t="shared" si="54"/>
        <v>176124.7</v>
      </c>
      <c r="I175" s="122">
        <v>176124.7</v>
      </c>
      <c r="J175" s="122"/>
      <c r="K175" s="53"/>
    </row>
    <row r="176" spans="1:11" s="46" customFormat="1" ht="30" x14ac:dyDescent="0.25">
      <c r="A176" s="248">
        <v>292</v>
      </c>
      <c r="B176" s="110"/>
      <c r="C176" s="105"/>
      <c r="D176" s="113" t="s">
        <v>364</v>
      </c>
      <c r="E176" s="115">
        <f t="shared" si="53"/>
        <v>1500</v>
      </c>
      <c r="F176" s="115">
        <v>1500</v>
      </c>
      <c r="G176" s="115"/>
      <c r="H176" s="122">
        <f t="shared" si="54"/>
        <v>147747.70000000001</v>
      </c>
      <c r="I176" s="122">
        <v>147747.70000000001</v>
      </c>
      <c r="J176" s="122"/>
      <c r="K176" s="53"/>
    </row>
    <row r="177" spans="1:11" s="46" customFormat="1" ht="15.75" x14ac:dyDescent="0.25">
      <c r="A177" s="248">
        <v>292</v>
      </c>
      <c r="B177" s="110"/>
      <c r="C177" s="105"/>
      <c r="D177" s="106" t="s">
        <v>57</v>
      </c>
      <c r="E177" s="115">
        <f t="shared" si="53"/>
        <v>1</v>
      </c>
      <c r="F177" s="115">
        <v>1</v>
      </c>
      <c r="G177" s="115"/>
      <c r="H177" s="122">
        <f t="shared" si="54"/>
        <v>106.2</v>
      </c>
      <c r="I177" s="122">
        <v>106.2</v>
      </c>
      <c r="J177" s="122"/>
      <c r="K177" s="53"/>
    </row>
    <row r="178" spans="1:11" s="46" customFormat="1" ht="19.5" customHeight="1" x14ac:dyDescent="0.25">
      <c r="A178" s="248">
        <v>292</v>
      </c>
      <c r="B178" s="110"/>
      <c r="C178" s="105"/>
      <c r="D178" s="106" t="s">
        <v>184</v>
      </c>
      <c r="E178" s="115">
        <f t="shared" si="53"/>
        <v>834</v>
      </c>
      <c r="F178" s="115">
        <f>819+10</f>
        <v>829</v>
      </c>
      <c r="G178" s="115">
        <v>5</v>
      </c>
      <c r="H178" s="122">
        <f t="shared" si="54"/>
        <v>269134.3</v>
      </c>
      <c r="I178" s="122">
        <v>265451.59999999998</v>
      </c>
      <c r="J178" s="122">
        <f>3682.7</f>
        <v>3682.7</v>
      </c>
      <c r="K178" s="53"/>
    </row>
    <row r="179" spans="1:11" s="46" customFormat="1" ht="15.75" x14ac:dyDescent="0.25">
      <c r="A179" s="248">
        <v>292</v>
      </c>
      <c r="B179" s="110"/>
      <c r="C179" s="149"/>
      <c r="D179" s="127" t="s">
        <v>183</v>
      </c>
      <c r="E179" s="128">
        <f>ROUND(E174+E177+E178,0)</f>
        <v>4940</v>
      </c>
      <c r="F179" s="128">
        <f>ROUND(F174+F177+F178,0)</f>
        <v>4935</v>
      </c>
      <c r="G179" s="128">
        <f>ROUND(G174+G177+G178,0)</f>
        <v>5</v>
      </c>
      <c r="H179" s="129">
        <f t="shared" ref="H179:J179" si="55">ROUND(H174+H177+H178,1)</f>
        <v>600580.30000000005</v>
      </c>
      <c r="I179" s="129">
        <f t="shared" si="55"/>
        <v>596897.6</v>
      </c>
      <c r="J179" s="129">
        <f t="shared" si="55"/>
        <v>3682.7</v>
      </c>
      <c r="K179" s="53"/>
    </row>
    <row r="180" spans="1:11" s="46" customFormat="1" ht="15.75" x14ac:dyDescent="0.25">
      <c r="A180" s="248">
        <v>146</v>
      </c>
      <c r="B180" s="110">
        <v>146</v>
      </c>
      <c r="C180" s="399" t="s">
        <v>101</v>
      </c>
      <c r="D180" s="400"/>
      <c r="E180" s="116"/>
      <c r="F180" s="116"/>
      <c r="G180" s="116"/>
      <c r="H180" s="121"/>
      <c r="I180" s="121"/>
      <c r="J180" s="121"/>
      <c r="K180" s="53"/>
    </row>
    <row r="181" spans="1:11" s="46" customFormat="1" ht="15.75" x14ac:dyDescent="0.25">
      <c r="A181" s="248">
        <v>146</v>
      </c>
      <c r="B181" s="110"/>
      <c r="C181" s="125"/>
      <c r="D181" s="95" t="s">
        <v>21</v>
      </c>
      <c r="E181" s="115">
        <f t="shared" ref="E181:E187" si="56">F181+G181</f>
        <v>550</v>
      </c>
      <c r="F181" s="115">
        <v>550</v>
      </c>
      <c r="G181" s="115"/>
      <c r="H181" s="122">
        <f t="shared" ref="H181:H187" si="57">I181+J181</f>
        <v>29890.7</v>
      </c>
      <c r="I181" s="122">
        <v>29890.7</v>
      </c>
      <c r="J181" s="122"/>
      <c r="K181" s="53"/>
    </row>
    <row r="182" spans="1:11" s="46" customFormat="1" ht="15.75" x14ac:dyDescent="0.25">
      <c r="A182" s="248">
        <v>146</v>
      </c>
      <c r="B182" s="110"/>
      <c r="C182" s="124"/>
      <c r="D182" s="95" t="s">
        <v>192</v>
      </c>
      <c r="E182" s="115">
        <f t="shared" si="56"/>
        <v>570</v>
      </c>
      <c r="F182" s="115">
        <v>570</v>
      </c>
      <c r="G182" s="115"/>
      <c r="H182" s="122">
        <f t="shared" si="57"/>
        <v>28943.200000000001</v>
      </c>
      <c r="I182" s="122">
        <v>28943.200000000001</v>
      </c>
      <c r="J182" s="122"/>
      <c r="K182" s="53"/>
    </row>
    <row r="183" spans="1:11" s="46" customFormat="1" ht="21.75" customHeight="1" x14ac:dyDescent="0.25">
      <c r="A183" s="248">
        <v>146</v>
      </c>
      <c r="B183" s="110"/>
      <c r="C183" s="105"/>
      <c r="D183" s="106" t="s">
        <v>202</v>
      </c>
      <c r="E183" s="115">
        <f t="shared" si="56"/>
        <v>263</v>
      </c>
      <c r="F183" s="115">
        <v>263</v>
      </c>
      <c r="G183" s="115"/>
      <c r="H183" s="122">
        <f t="shared" si="57"/>
        <v>31963.599999999999</v>
      </c>
      <c r="I183" s="122">
        <v>31963.599999999999</v>
      </c>
      <c r="J183" s="122"/>
      <c r="K183" s="53"/>
    </row>
    <row r="184" spans="1:11" s="46" customFormat="1" ht="15.75" x14ac:dyDescent="0.25">
      <c r="A184" s="248">
        <v>146</v>
      </c>
      <c r="B184" s="110"/>
      <c r="C184" s="105"/>
      <c r="D184" s="106" t="s">
        <v>9</v>
      </c>
      <c r="E184" s="115">
        <f t="shared" si="56"/>
        <v>115</v>
      </c>
      <c r="F184" s="115">
        <v>115</v>
      </c>
      <c r="G184" s="115"/>
      <c r="H184" s="122">
        <f t="shared" si="57"/>
        <v>4822.3999999999996</v>
      </c>
      <c r="I184" s="122">
        <v>4822.3999999999996</v>
      </c>
      <c r="J184" s="122"/>
      <c r="K184" s="53"/>
    </row>
    <row r="185" spans="1:11" s="46" customFormat="1" ht="15.75" x14ac:dyDescent="0.25">
      <c r="A185" s="248">
        <v>146</v>
      </c>
      <c r="B185" s="110"/>
      <c r="C185" s="105"/>
      <c r="D185" s="106" t="s">
        <v>7</v>
      </c>
      <c r="E185" s="115">
        <f t="shared" si="56"/>
        <v>197</v>
      </c>
      <c r="F185" s="115">
        <f>152-10</f>
        <v>142</v>
      </c>
      <c r="G185" s="115">
        <f>45+10</f>
        <v>55</v>
      </c>
      <c r="H185" s="122">
        <f t="shared" si="57"/>
        <v>18660.699999999997</v>
      </c>
      <c r="I185" s="122">
        <f>10237.3-1810.5</f>
        <v>8426.7999999999993</v>
      </c>
      <c r="J185" s="122">
        <f>9534.6-1111.2+1810.5</f>
        <v>10233.9</v>
      </c>
      <c r="K185" s="53"/>
    </row>
    <row r="186" spans="1:11" s="46" customFormat="1" ht="15.75" x14ac:dyDescent="0.25">
      <c r="A186" s="248">
        <v>146</v>
      </c>
      <c r="B186" s="110"/>
      <c r="C186" s="105"/>
      <c r="D186" s="106" t="s">
        <v>12</v>
      </c>
      <c r="E186" s="115">
        <f t="shared" si="56"/>
        <v>32</v>
      </c>
      <c r="F186" s="115">
        <v>32</v>
      </c>
      <c r="G186" s="115"/>
      <c r="H186" s="122">
        <f t="shared" si="57"/>
        <v>2197.5</v>
      </c>
      <c r="I186" s="122">
        <v>2197.5</v>
      </c>
      <c r="J186" s="122"/>
      <c r="K186" s="53"/>
    </row>
    <row r="187" spans="1:11" s="46" customFormat="1" ht="15.75" x14ac:dyDescent="0.25">
      <c r="A187" s="248">
        <v>146</v>
      </c>
      <c r="B187" s="110"/>
      <c r="C187" s="105"/>
      <c r="D187" s="106" t="s">
        <v>203</v>
      </c>
      <c r="E187" s="115">
        <f t="shared" si="56"/>
        <v>162</v>
      </c>
      <c r="F187" s="115">
        <v>162</v>
      </c>
      <c r="G187" s="115"/>
      <c r="H187" s="122">
        <f t="shared" si="57"/>
        <v>13058.3</v>
      </c>
      <c r="I187" s="122">
        <v>13058.3</v>
      </c>
      <c r="J187" s="122"/>
      <c r="K187" s="53"/>
    </row>
    <row r="188" spans="1:11" s="46" customFormat="1" ht="15.75" x14ac:dyDescent="0.25">
      <c r="A188" s="248">
        <v>146</v>
      </c>
      <c r="B188" s="110"/>
      <c r="C188" s="130"/>
      <c r="D188" s="145" t="s">
        <v>183</v>
      </c>
      <c r="E188" s="128">
        <f>ROUND(E181+E182+E183+E184+E185+E186+E187,0)</f>
        <v>1889</v>
      </c>
      <c r="F188" s="128">
        <f>ROUND(F181+F182+F183+F184+F185+F186+F187,0)</f>
        <v>1834</v>
      </c>
      <c r="G188" s="128">
        <f>ROUND(G181+G182+G183+G184+G185+G186+G187,0)</f>
        <v>55</v>
      </c>
      <c r="H188" s="129">
        <f t="shared" ref="H188:J188" si="58">ROUND(H181+H182+H183+H184+H185+H186+H187,1)</f>
        <v>129536.4</v>
      </c>
      <c r="I188" s="129">
        <f t="shared" si="58"/>
        <v>119302.5</v>
      </c>
      <c r="J188" s="129">
        <f t="shared" si="58"/>
        <v>10233.9</v>
      </c>
      <c r="K188" s="53"/>
    </row>
    <row r="189" spans="1:11" s="46" customFormat="1" ht="28.5" customHeight="1" x14ac:dyDescent="0.25">
      <c r="A189" s="248">
        <v>203</v>
      </c>
      <c r="B189" s="110">
        <v>203</v>
      </c>
      <c r="C189" s="399" t="s">
        <v>102</v>
      </c>
      <c r="D189" s="400"/>
      <c r="E189" s="116"/>
      <c r="F189" s="116"/>
      <c r="G189" s="116"/>
      <c r="H189" s="121"/>
      <c r="I189" s="121"/>
      <c r="J189" s="121"/>
      <c r="K189" s="53"/>
    </row>
    <row r="190" spans="1:11" s="46" customFormat="1" ht="90" x14ac:dyDescent="0.25">
      <c r="A190" s="248">
        <v>203</v>
      </c>
      <c r="B190" s="110"/>
      <c r="C190" s="107"/>
      <c r="D190" s="108" t="s">
        <v>469</v>
      </c>
      <c r="E190" s="115">
        <f>F190+G190</f>
        <v>180</v>
      </c>
      <c r="F190" s="115">
        <f>165+15</f>
        <v>180</v>
      </c>
      <c r="G190" s="117"/>
      <c r="H190" s="122">
        <f t="shared" ref="H190:H197" si="59">I190+J190</f>
        <v>7557.6</v>
      </c>
      <c r="I190" s="122">
        <v>7557.6</v>
      </c>
      <c r="J190" s="122"/>
      <c r="K190" s="53"/>
    </row>
    <row r="191" spans="1:11" s="46" customFormat="1" ht="30" x14ac:dyDescent="0.25">
      <c r="A191" s="248">
        <v>203</v>
      </c>
      <c r="B191" s="110"/>
      <c r="C191" s="105"/>
      <c r="D191" s="113" t="s">
        <v>182</v>
      </c>
      <c r="E191" s="115">
        <f t="shared" ref="E191:E192" si="60">F191+G191</f>
        <v>5</v>
      </c>
      <c r="F191" s="115">
        <v>5</v>
      </c>
      <c r="G191" s="117"/>
      <c r="H191" s="122">
        <f t="shared" si="59"/>
        <v>412.3</v>
      </c>
      <c r="I191" s="122">
        <v>412.3</v>
      </c>
      <c r="J191" s="122"/>
      <c r="K191" s="53"/>
    </row>
    <row r="192" spans="1:11" s="46" customFormat="1" ht="30" x14ac:dyDescent="0.25">
      <c r="A192" s="248">
        <v>203</v>
      </c>
      <c r="B192" s="110"/>
      <c r="C192" s="105"/>
      <c r="D192" s="113" t="s">
        <v>364</v>
      </c>
      <c r="E192" s="115">
        <f t="shared" si="60"/>
        <v>20</v>
      </c>
      <c r="F192" s="115">
        <v>20</v>
      </c>
      <c r="G192" s="117"/>
      <c r="H192" s="122">
        <f t="shared" si="59"/>
        <v>1339.1</v>
      </c>
      <c r="I192" s="122">
        <v>1339.1</v>
      </c>
      <c r="J192" s="122"/>
      <c r="K192" s="53"/>
    </row>
    <row r="193" spans="1:11" s="46" customFormat="1" ht="15.75" x14ac:dyDescent="0.25">
      <c r="A193" s="248">
        <v>203</v>
      </c>
      <c r="B193" s="110"/>
      <c r="C193" s="105"/>
      <c r="D193" s="106" t="s">
        <v>6</v>
      </c>
      <c r="E193" s="115">
        <f>F193+G193</f>
        <v>176</v>
      </c>
      <c r="F193" s="115">
        <f>161+15</f>
        <v>176</v>
      </c>
      <c r="G193" s="117"/>
      <c r="H193" s="122">
        <f t="shared" si="59"/>
        <v>11764.8</v>
      </c>
      <c r="I193" s="122">
        <f>13764.8-2000</f>
        <v>11764.8</v>
      </c>
      <c r="J193" s="122"/>
      <c r="K193" s="53"/>
    </row>
    <row r="194" spans="1:11" s="46" customFormat="1" ht="15.75" x14ac:dyDescent="0.25">
      <c r="A194" s="248">
        <v>203</v>
      </c>
      <c r="B194" s="110"/>
      <c r="C194" s="105"/>
      <c r="D194" s="106" t="s">
        <v>9</v>
      </c>
      <c r="E194" s="115">
        <f>F194+G194</f>
        <v>124</v>
      </c>
      <c r="F194" s="115">
        <f>114+10</f>
        <v>124</v>
      </c>
      <c r="G194" s="117"/>
      <c r="H194" s="122">
        <f t="shared" si="59"/>
        <v>7044.3</v>
      </c>
      <c r="I194" s="122">
        <v>7044.3</v>
      </c>
      <c r="J194" s="122"/>
      <c r="K194" s="53"/>
    </row>
    <row r="195" spans="1:11" s="46" customFormat="1" ht="15.75" x14ac:dyDescent="0.25">
      <c r="A195" s="248">
        <v>203</v>
      </c>
      <c r="B195" s="110"/>
      <c r="C195" s="105"/>
      <c r="D195" s="106" t="s">
        <v>7</v>
      </c>
      <c r="E195" s="115">
        <f>F195+G195</f>
        <v>175</v>
      </c>
      <c r="F195" s="115">
        <f>160+15</f>
        <v>175</v>
      </c>
      <c r="G195" s="117"/>
      <c r="H195" s="122">
        <f t="shared" si="59"/>
        <v>11881.1</v>
      </c>
      <c r="I195" s="122">
        <v>11881.1</v>
      </c>
      <c r="J195" s="122"/>
      <c r="K195" s="53"/>
    </row>
    <row r="196" spans="1:11" s="46" customFormat="1" ht="13.5" customHeight="1" x14ac:dyDescent="0.25">
      <c r="A196" s="248">
        <v>203</v>
      </c>
      <c r="B196" s="110"/>
      <c r="C196" s="105"/>
      <c r="D196" s="106" t="s">
        <v>8</v>
      </c>
      <c r="E196" s="115">
        <f>F196+G196</f>
        <v>443</v>
      </c>
      <c r="F196" s="115">
        <f>406+37</f>
        <v>443</v>
      </c>
      <c r="G196" s="117"/>
      <c r="H196" s="122">
        <f t="shared" si="59"/>
        <v>23894.100000000002</v>
      </c>
      <c r="I196" s="122">
        <f>26803.4-2909.3</f>
        <v>23894.100000000002</v>
      </c>
      <c r="J196" s="122"/>
      <c r="K196" s="53"/>
    </row>
    <row r="197" spans="1:11" s="46" customFormat="1" ht="15.75" x14ac:dyDescent="0.25">
      <c r="A197" s="248">
        <v>203</v>
      </c>
      <c r="B197" s="110"/>
      <c r="C197" s="105"/>
      <c r="D197" s="106" t="s">
        <v>4</v>
      </c>
      <c r="E197" s="115">
        <f>F197+G197</f>
        <v>458</v>
      </c>
      <c r="F197" s="115">
        <f>420+38</f>
        <v>458</v>
      </c>
      <c r="G197" s="117"/>
      <c r="H197" s="122">
        <f t="shared" si="59"/>
        <v>26131.3</v>
      </c>
      <c r="I197" s="122">
        <f>30131.3-4000</f>
        <v>26131.3</v>
      </c>
      <c r="J197" s="122"/>
      <c r="K197" s="53"/>
    </row>
    <row r="198" spans="1:11" s="46" customFormat="1" ht="15.75" x14ac:dyDescent="0.25">
      <c r="A198" s="248">
        <v>203</v>
      </c>
      <c r="B198" s="110"/>
      <c r="C198" s="130"/>
      <c r="D198" s="145" t="s">
        <v>183</v>
      </c>
      <c r="E198" s="128">
        <f>ROUND(E190+E193+E194+E195+E196+E197,0)</f>
        <v>1556</v>
      </c>
      <c r="F198" s="128">
        <f>ROUND(F190+F193+F194+F195+F196+F197,0)</f>
        <v>1556</v>
      </c>
      <c r="G198" s="128">
        <f>ROUND(G190+G193+G194+G195+G196+G197,0)</f>
        <v>0</v>
      </c>
      <c r="H198" s="129">
        <f t="shared" ref="H198:J198" si="61">ROUND(H190+H193+H194+H195+H196+H197,1)</f>
        <v>88273.2</v>
      </c>
      <c r="I198" s="129">
        <f t="shared" si="61"/>
        <v>88273.2</v>
      </c>
      <c r="J198" s="129">
        <f t="shared" si="61"/>
        <v>0</v>
      </c>
      <c r="K198" s="53"/>
    </row>
    <row r="199" spans="1:11" s="46" customFormat="1" ht="21" customHeight="1" x14ac:dyDescent="0.25">
      <c r="A199" s="248">
        <v>79</v>
      </c>
      <c r="B199" s="110">
        <v>79</v>
      </c>
      <c r="C199" s="399" t="s">
        <v>103</v>
      </c>
      <c r="D199" s="400"/>
      <c r="E199" s="116"/>
      <c r="F199" s="116"/>
      <c r="G199" s="116"/>
      <c r="H199" s="121"/>
      <c r="I199" s="121"/>
      <c r="J199" s="121"/>
      <c r="K199" s="53"/>
    </row>
    <row r="200" spans="1:11" s="46" customFormat="1" ht="90" x14ac:dyDescent="0.25">
      <c r="A200" s="248">
        <v>79</v>
      </c>
      <c r="B200" s="110"/>
      <c r="C200" s="107"/>
      <c r="D200" s="108" t="s">
        <v>469</v>
      </c>
      <c r="E200" s="115">
        <f t="shared" ref="E200:E206" si="62">F200+G200</f>
        <v>313</v>
      </c>
      <c r="F200" s="115">
        <v>313</v>
      </c>
      <c r="G200" s="117"/>
      <c r="H200" s="122">
        <f t="shared" ref="H200:H206" si="63">I200+J200</f>
        <v>8637.5</v>
      </c>
      <c r="I200" s="122">
        <v>8637.5</v>
      </c>
      <c r="J200" s="122"/>
      <c r="K200" s="53"/>
    </row>
    <row r="201" spans="1:11" s="46" customFormat="1" ht="30" x14ac:dyDescent="0.25">
      <c r="A201" s="248">
        <v>79</v>
      </c>
      <c r="B201" s="110"/>
      <c r="C201" s="105"/>
      <c r="D201" s="113" t="s">
        <v>364</v>
      </c>
      <c r="E201" s="115">
        <f t="shared" si="62"/>
        <v>22</v>
      </c>
      <c r="F201" s="115">
        <v>22</v>
      </c>
      <c r="G201" s="117"/>
      <c r="H201" s="122">
        <f t="shared" si="63"/>
        <v>2187</v>
      </c>
      <c r="I201" s="122">
        <v>2187</v>
      </c>
      <c r="J201" s="122"/>
      <c r="K201" s="53"/>
    </row>
    <row r="202" spans="1:11" s="46" customFormat="1" ht="15.75" x14ac:dyDescent="0.25">
      <c r="A202" s="248">
        <v>79</v>
      </c>
      <c r="B202" s="110"/>
      <c r="C202" s="105"/>
      <c r="D202" s="106" t="s">
        <v>6</v>
      </c>
      <c r="E202" s="115">
        <f t="shared" si="62"/>
        <v>208</v>
      </c>
      <c r="F202" s="115">
        <v>208</v>
      </c>
      <c r="G202" s="117"/>
      <c r="H202" s="122">
        <f t="shared" si="63"/>
        <v>15487.2</v>
      </c>
      <c r="I202" s="122">
        <v>15487.2</v>
      </c>
      <c r="J202" s="122"/>
      <c r="K202" s="53"/>
    </row>
    <row r="203" spans="1:11" s="46" customFormat="1" ht="15.75" x14ac:dyDescent="0.25">
      <c r="A203" s="248">
        <v>79</v>
      </c>
      <c r="B203" s="110"/>
      <c r="C203" s="105"/>
      <c r="D203" s="106" t="s">
        <v>7</v>
      </c>
      <c r="E203" s="115">
        <f t="shared" si="62"/>
        <v>339</v>
      </c>
      <c r="F203" s="115">
        <v>339</v>
      </c>
      <c r="G203" s="117"/>
      <c r="H203" s="122">
        <f t="shared" si="63"/>
        <v>19311.400000000001</v>
      </c>
      <c r="I203" s="122">
        <v>19311.400000000001</v>
      </c>
      <c r="J203" s="122"/>
      <c r="K203" s="53"/>
    </row>
    <row r="204" spans="1:11" s="46" customFormat="1" ht="15.75" x14ac:dyDescent="0.25">
      <c r="A204" s="248">
        <v>79</v>
      </c>
      <c r="B204" s="110"/>
      <c r="C204" s="105"/>
      <c r="D204" s="106" t="s">
        <v>8</v>
      </c>
      <c r="E204" s="115">
        <f t="shared" si="62"/>
        <v>920</v>
      </c>
      <c r="F204" s="115">
        <v>920</v>
      </c>
      <c r="G204" s="117"/>
      <c r="H204" s="122">
        <f t="shared" si="63"/>
        <v>30972.700000000004</v>
      </c>
      <c r="I204" s="122">
        <f>40951.3-9978.6</f>
        <v>30972.700000000004</v>
      </c>
      <c r="J204" s="122"/>
      <c r="K204" s="53"/>
    </row>
    <row r="205" spans="1:11" s="46" customFormat="1" ht="15.75" x14ac:dyDescent="0.25">
      <c r="A205" s="248">
        <v>79</v>
      </c>
      <c r="B205" s="110"/>
      <c r="C205" s="105"/>
      <c r="D205" s="106" t="s">
        <v>5</v>
      </c>
      <c r="E205" s="115">
        <f t="shared" si="62"/>
        <v>3</v>
      </c>
      <c r="F205" s="115">
        <v>3</v>
      </c>
      <c r="G205" s="117"/>
      <c r="H205" s="122">
        <f t="shared" si="63"/>
        <v>255.7</v>
      </c>
      <c r="I205" s="122">
        <v>255.7</v>
      </c>
      <c r="J205" s="122"/>
      <c r="K205" s="53"/>
    </row>
    <row r="206" spans="1:11" s="46" customFormat="1" ht="15.75" x14ac:dyDescent="0.25">
      <c r="A206" s="248">
        <v>79</v>
      </c>
      <c r="B206" s="110"/>
      <c r="C206" s="105"/>
      <c r="D206" s="106" t="s">
        <v>4</v>
      </c>
      <c r="E206" s="115">
        <f t="shared" si="62"/>
        <v>744</v>
      </c>
      <c r="F206" s="115">
        <v>744</v>
      </c>
      <c r="G206" s="117"/>
      <c r="H206" s="122">
        <f t="shared" si="63"/>
        <v>37860.700000000004</v>
      </c>
      <c r="I206" s="122">
        <v>37860.700000000004</v>
      </c>
      <c r="J206" s="122"/>
      <c r="K206" s="53"/>
    </row>
    <row r="207" spans="1:11" s="46" customFormat="1" ht="15.75" x14ac:dyDescent="0.25">
      <c r="A207" s="248">
        <v>79</v>
      </c>
      <c r="B207" s="110"/>
      <c r="C207" s="149"/>
      <c r="D207" s="127" t="s">
        <v>183</v>
      </c>
      <c r="E207" s="128">
        <f>ROUND(E200+E202+E203+E204+E205+E206,0)</f>
        <v>2527</v>
      </c>
      <c r="F207" s="128">
        <f>ROUND(F200+F202+F203+F204+F205+F206,0)</f>
        <v>2527</v>
      </c>
      <c r="G207" s="128">
        <f>ROUND(G200+G202+G203+G204+G205+G206,0)</f>
        <v>0</v>
      </c>
      <c r="H207" s="129">
        <f>ROUND(H200+H202+H203+H204+H205+H206,1)</f>
        <v>112525.2</v>
      </c>
      <c r="I207" s="129">
        <f>ROUND(I200+I202+I203+I204+I205+I206,1)</f>
        <v>112525.2</v>
      </c>
      <c r="J207" s="129">
        <f>ROUND(J200+J202+J203+J204+J205+J206,1)</f>
        <v>0</v>
      </c>
      <c r="K207" s="53"/>
    </row>
    <row r="208" spans="1:11" s="46" customFormat="1" ht="21.75" customHeight="1" x14ac:dyDescent="0.25">
      <c r="A208" s="248">
        <v>142</v>
      </c>
      <c r="B208" s="104">
        <v>142</v>
      </c>
      <c r="C208" s="399" t="s">
        <v>112</v>
      </c>
      <c r="D208" s="400"/>
      <c r="E208" s="115"/>
      <c r="F208" s="115"/>
      <c r="G208" s="117"/>
      <c r="H208" s="122"/>
      <c r="I208" s="122"/>
      <c r="J208" s="122"/>
      <c r="K208" s="53"/>
    </row>
    <row r="209" spans="1:11" s="46" customFormat="1" ht="60" x14ac:dyDescent="0.25">
      <c r="A209" s="248">
        <v>142</v>
      </c>
      <c r="B209" s="104"/>
      <c r="C209" s="105"/>
      <c r="D209" s="108" t="s">
        <v>470</v>
      </c>
      <c r="E209" s="115">
        <f t="shared" ref="E209:E212" si="64">F209+G209</f>
        <v>6579</v>
      </c>
      <c r="F209" s="115">
        <f>6670-91</f>
        <v>6579</v>
      </c>
      <c r="G209" s="117"/>
      <c r="H209" s="122">
        <f t="shared" ref="H209:H212" si="65">I209+J209</f>
        <v>286974.09999999998</v>
      </c>
      <c r="I209" s="122">
        <f>290994.5-4020.4</f>
        <v>286974.09999999998</v>
      </c>
      <c r="J209" s="122"/>
      <c r="K209" s="53"/>
    </row>
    <row r="210" spans="1:11" s="46" customFormat="1" ht="21" customHeight="1" x14ac:dyDescent="0.25">
      <c r="A210" s="248">
        <v>142</v>
      </c>
      <c r="B210" s="104"/>
      <c r="C210" s="105"/>
      <c r="D210" s="113" t="s">
        <v>182</v>
      </c>
      <c r="E210" s="115">
        <f t="shared" si="64"/>
        <v>2220</v>
      </c>
      <c r="F210" s="115">
        <v>2220</v>
      </c>
      <c r="G210" s="117"/>
      <c r="H210" s="122">
        <f t="shared" si="65"/>
        <v>96637.6</v>
      </c>
      <c r="I210" s="122">
        <v>96637.6</v>
      </c>
      <c r="J210" s="122"/>
      <c r="K210" s="53"/>
    </row>
    <row r="211" spans="1:11" s="46" customFormat="1" ht="30" x14ac:dyDescent="0.25">
      <c r="A211" s="248">
        <v>142</v>
      </c>
      <c r="B211" s="104"/>
      <c r="C211" s="105"/>
      <c r="D211" s="113" t="s">
        <v>364</v>
      </c>
      <c r="E211" s="115">
        <f t="shared" si="64"/>
        <v>1740</v>
      </c>
      <c r="F211" s="115">
        <v>1740</v>
      </c>
      <c r="G211" s="117"/>
      <c r="H211" s="122">
        <f t="shared" si="65"/>
        <v>91965.7</v>
      </c>
      <c r="I211" s="122">
        <v>91965.7</v>
      </c>
      <c r="J211" s="122"/>
      <c r="K211" s="53"/>
    </row>
    <row r="212" spans="1:11" s="46" customFormat="1" ht="15.75" x14ac:dyDescent="0.25">
      <c r="A212" s="248">
        <v>142</v>
      </c>
      <c r="B212" s="104"/>
      <c r="C212" s="105"/>
      <c r="D212" s="106" t="s">
        <v>184</v>
      </c>
      <c r="E212" s="115">
        <f t="shared" si="64"/>
        <v>60</v>
      </c>
      <c r="F212" s="115">
        <v>60</v>
      </c>
      <c r="G212" s="117"/>
      <c r="H212" s="122">
        <f t="shared" si="65"/>
        <v>11859.5</v>
      </c>
      <c r="I212" s="122">
        <v>11859.5</v>
      </c>
      <c r="J212" s="122"/>
      <c r="K212" s="53"/>
    </row>
    <row r="213" spans="1:11" s="46" customFormat="1" ht="15.75" customHeight="1" x14ac:dyDescent="0.25">
      <c r="A213" s="248">
        <v>142</v>
      </c>
      <c r="B213" s="104"/>
      <c r="C213" s="126"/>
      <c r="D213" s="145" t="s">
        <v>183</v>
      </c>
      <c r="E213" s="128">
        <f>ROUND(E208+E209+E212,0)</f>
        <v>6639</v>
      </c>
      <c r="F213" s="128">
        <f>ROUND(F208+F209+F212,0)</f>
        <v>6639</v>
      </c>
      <c r="G213" s="128">
        <f>ROUND(G208+G209+G212,0)</f>
        <v>0</v>
      </c>
      <c r="H213" s="129">
        <f t="shared" ref="H213:J213" si="66">ROUND(H208+H209+H212,1)</f>
        <v>298833.59999999998</v>
      </c>
      <c r="I213" s="129">
        <f t="shared" si="66"/>
        <v>298833.59999999998</v>
      </c>
      <c r="J213" s="129">
        <f t="shared" si="66"/>
        <v>0</v>
      </c>
      <c r="K213" s="53"/>
    </row>
    <row r="214" spans="1:11" s="46" customFormat="1" ht="21.75" customHeight="1" x14ac:dyDescent="0.25">
      <c r="A214" s="248">
        <v>129</v>
      </c>
      <c r="B214" s="110">
        <v>129</v>
      </c>
      <c r="C214" s="399" t="s">
        <v>104</v>
      </c>
      <c r="D214" s="400"/>
      <c r="E214" s="116"/>
      <c r="F214" s="116"/>
      <c r="G214" s="116"/>
      <c r="H214" s="121"/>
      <c r="I214" s="121"/>
      <c r="J214" s="121"/>
      <c r="K214" s="53"/>
    </row>
    <row r="215" spans="1:11" s="46" customFormat="1" ht="60" x14ac:dyDescent="0.25">
      <c r="A215" s="248">
        <v>129</v>
      </c>
      <c r="B215" s="110"/>
      <c r="C215" s="107"/>
      <c r="D215" s="108" t="s">
        <v>470</v>
      </c>
      <c r="E215" s="115">
        <f t="shared" ref="E215:E218" si="67">F215+G215</f>
        <v>7106</v>
      </c>
      <c r="F215" s="115">
        <f>6937+169</f>
        <v>7106</v>
      </c>
      <c r="G215" s="117"/>
      <c r="H215" s="122">
        <f t="shared" ref="H215:H218" si="68">I215+J215</f>
        <v>281197.09999999998</v>
      </c>
      <c r="I215" s="122">
        <f>274804.3+6392.8</f>
        <v>281197.09999999998</v>
      </c>
      <c r="J215" s="122"/>
      <c r="K215" s="53"/>
    </row>
    <row r="216" spans="1:11" s="46" customFormat="1" ht="30" x14ac:dyDescent="0.25">
      <c r="A216" s="248">
        <v>129</v>
      </c>
      <c r="B216" s="110"/>
      <c r="C216" s="105"/>
      <c r="D216" s="113" t="s">
        <v>182</v>
      </c>
      <c r="E216" s="115">
        <f t="shared" si="67"/>
        <v>1332</v>
      </c>
      <c r="F216" s="115">
        <v>1332</v>
      </c>
      <c r="G216" s="117"/>
      <c r="H216" s="122">
        <f t="shared" si="68"/>
        <v>61173.2</v>
      </c>
      <c r="I216" s="122">
        <v>61173.2</v>
      </c>
      <c r="J216" s="122"/>
      <c r="K216" s="53"/>
    </row>
    <row r="217" spans="1:11" s="46" customFormat="1" ht="30" x14ac:dyDescent="0.25">
      <c r="A217" s="248">
        <v>129</v>
      </c>
      <c r="B217" s="110"/>
      <c r="C217" s="105"/>
      <c r="D217" s="113" t="s">
        <v>364</v>
      </c>
      <c r="E217" s="115">
        <f t="shared" si="67"/>
        <v>2160</v>
      </c>
      <c r="F217" s="115">
        <v>2160</v>
      </c>
      <c r="G217" s="117"/>
      <c r="H217" s="122">
        <f t="shared" si="68"/>
        <v>127730.8</v>
      </c>
      <c r="I217" s="122">
        <v>127730.8</v>
      </c>
      <c r="J217" s="122"/>
      <c r="K217" s="53"/>
    </row>
    <row r="218" spans="1:11" s="46" customFormat="1" ht="15.75" x14ac:dyDescent="0.25">
      <c r="A218" s="248">
        <v>129</v>
      </c>
      <c r="B218" s="110"/>
      <c r="C218" s="105"/>
      <c r="D218" s="106" t="s">
        <v>184</v>
      </c>
      <c r="E218" s="115">
        <f t="shared" si="67"/>
        <v>4</v>
      </c>
      <c r="F218" s="115">
        <v>4</v>
      </c>
      <c r="G218" s="117"/>
      <c r="H218" s="122">
        <f t="shared" si="68"/>
        <v>1007.3000000000001</v>
      </c>
      <c r="I218" s="122">
        <v>1007.3000000000001</v>
      </c>
      <c r="J218" s="122"/>
      <c r="K218" s="53"/>
    </row>
    <row r="219" spans="1:11" s="46" customFormat="1" ht="15.75" x14ac:dyDescent="0.25">
      <c r="A219" s="248">
        <v>129</v>
      </c>
      <c r="B219" s="110"/>
      <c r="C219" s="126"/>
      <c r="D219" s="145" t="s">
        <v>183</v>
      </c>
      <c r="E219" s="128">
        <f>ROUND(E215+E218,0)</f>
        <v>7110</v>
      </c>
      <c r="F219" s="128">
        <f>ROUND(F215+F218,0)</f>
        <v>7110</v>
      </c>
      <c r="G219" s="128">
        <f>ROUND(G215+G218,0)</f>
        <v>0</v>
      </c>
      <c r="H219" s="129">
        <f t="shared" ref="H219:J219" si="69">ROUND(H215+H218,1)</f>
        <v>282204.40000000002</v>
      </c>
      <c r="I219" s="129">
        <f t="shared" si="69"/>
        <v>282204.40000000002</v>
      </c>
      <c r="J219" s="129">
        <f t="shared" si="69"/>
        <v>0</v>
      </c>
      <c r="K219" s="53"/>
    </row>
    <row r="220" spans="1:11" s="46" customFormat="1" ht="21.75" customHeight="1" x14ac:dyDescent="0.25">
      <c r="A220" s="248">
        <v>115</v>
      </c>
      <c r="B220" s="110">
        <v>115</v>
      </c>
      <c r="C220" s="399" t="s">
        <v>23</v>
      </c>
      <c r="D220" s="400"/>
      <c r="E220" s="116"/>
      <c r="F220" s="116"/>
      <c r="G220" s="116"/>
      <c r="H220" s="121"/>
      <c r="I220" s="121"/>
      <c r="J220" s="121"/>
      <c r="K220" s="53"/>
    </row>
    <row r="221" spans="1:11" s="46" customFormat="1" ht="90" x14ac:dyDescent="0.25">
      <c r="A221" s="248">
        <v>115</v>
      </c>
      <c r="B221" s="110"/>
      <c r="C221" s="107"/>
      <c r="D221" s="108" t="s">
        <v>469</v>
      </c>
      <c r="E221" s="115">
        <f t="shared" ref="E221:E231" si="70">F221+G221</f>
        <v>880</v>
      </c>
      <c r="F221" s="115">
        <v>880</v>
      </c>
      <c r="G221" s="117"/>
      <c r="H221" s="122">
        <f t="shared" ref="H221:H231" si="71">I221+J221</f>
        <v>73654.2</v>
      </c>
      <c r="I221" s="122">
        <v>73654.2</v>
      </c>
      <c r="J221" s="122"/>
      <c r="K221" s="53"/>
    </row>
    <row r="222" spans="1:11" s="46" customFormat="1" ht="27.75" customHeight="1" x14ac:dyDescent="0.25">
      <c r="A222" s="248">
        <v>115</v>
      </c>
      <c r="B222" s="110"/>
      <c r="C222" s="105"/>
      <c r="D222" s="113" t="s">
        <v>182</v>
      </c>
      <c r="E222" s="115">
        <f t="shared" si="70"/>
        <v>300</v>
      </c>
      <c r="F222" s="115">
        <v>300</v>
      </c>
      <c r="G222" s="117"/>
      <c r="H222" s="122">
        <f t="shared" si="71"/>
        <v>28250.2</v>
      </c>
      <c r="I222" s="122">
        <v>28250.2</v>
      </c>
      <c r="J222" s="122"/>
      <c r="K222" s="53"/>
    </row>
    <row r="223" spans="1:11" s="46" customFormat="1" ht="24" customHeight="1" x14ac:dyDescent="0.25">
      <c r="A223" s="248">
        <v>115</v>
      </c>
      <c r="B223" s="110"/>
      <c r="C223" s="105"/>
      <c r="D223" s="113" t="s">
        <v>364</v>
      </c>
      <c r="E223" s="115">
        <f t="shared" si="70"/>
        <v>211</v>
      </c>
      <c r="F223" s="115">
        <v>211</v>
      </c>
      <c r="G223" s="117"/>
      <c r="H223" s="122">
        <f t="shared" si="71"/>
        <v>36786.699999999997</v>
      </c>
      <c r="I223" s="122">
        <v>36786.699999999997</v>
      </c>
      <c r="J223" s="122"/>
      <c r="K223" s="53"/>
    </row>
    <row r="224" spans="1:11" s="46" customFormat="1" ht="15.75" x14ac:dyDescent="0.25">
      <c r="A224" s="248">
        <v>115</v>
      </c>
      <c r="B224" s="110"/>
      <c r="C224" s="105"/>
      <c r="D224" s="106" t="s">
        <v>6</v>
      </c>
      <c r="E224" s="115">
        <f t="shared" si="70"/>
        <v>520</v>
      </c>
      <c r="F224" s="115">
        <v>520</v>
      </c>
      <c r="G224" s="117"/>
      <c r="H224" s="122">
        <f t="shared" si="71"/>
        <v>43072.6</v>
      </c>
      <c r="I224" s="122">
        <v>43072.6</v>
      </c>
      <c r="J224" s="122"/>
      <c r="K224" s="53"/>
    </row>
    <row r="225" spans="1:11" s="46" customFormat="1" ht="15.75" x14ac:dyDescent="0.25">
      <c r="A225" s="248">
        <v>115</v>
      </c>
      <c r="B225" s="110"/>
      <c r="C225" s="105"/>
      <c r="D225" s="106" t="s">
        <v>16</v>
      </c>
      <c r="E225" s="115">
        <f t="shared" si="70"/>
        <v>806</v>
      </c>
      <c r="F225" s="115">
        <v>806</v>
      </c>
      <c r="G225" s="117"/>
      <c r="H225" s="122">
        <f t="shared" si="71"/>
        <v>42506.6</v>
      </c>
      <c r="I225" s="122">
        <v>42506.6</v>
      </c>
      <c r="J225" s="122"/>
      <c r="K225" s="53"/>
    </row>
    <row r="226" spans="1:11" s="46" customFormat="1" ht="15.75" x14ac:dyDescent="0.25">
      <c r="A226" s="248">
        <v>115</v>
      </c>
      <c r="B226" s="110"/>
      <c r="C226" s="105"/>
      <c r="D226" s="106" t="s">
        <v>9</v>
      </c>
      <c r="E226" s="115">
        <f t="shared" si="70"/>
        <v>630</v>
      </c>
      <c r="F226" s="115">
        <v>630</v>
      </c>
      <c r="G226" s="117"/>
      <c r="H226" s="122">
        <f t="shared" si="71"/>
        <v>57648.2</v>
      </c>
      <c r="I226" s="122">
        <v>57648.2</v>
      </c>
      <c r="J226" s="122"/>
      <c r="K226" s="53"/>
    </row>
    <row r="227" spans="1:11" s="46" customFormat="1" ht="15.75" x14ac:dyDescent="0.25">
      <c r="A227" s="248">
        <v>115</v>
      </c>
      <c r="B227" s="110"/>
      <c r="C227" s="105"/>
      <c r="D227" s="106" t="s">
        <v>184</v>
      </c>
      <c r="E227" s="115">
        <f t="shared" si="70"/>
        <v>80</v>
      </c>
      <c r="F227" s="115">
        <v>80</v>
      </c>
      <c r="G227" s="117"/>
      <c r="H227" s="122">
        <f t="shared" si="71"/>
        <v>10655.5</v>
      </c>
      <c r="I227" s="122">
        <v>10655.5</v>
      </c>
      <c r="J227" s="122"/>
      <c r="K227" s="53"/>
    </row>
    <row r="228" spans="1:11" s="46" customFormat="1" ht="24.75" customHeight="1" x14ac:dyDescent="0.25">
      <c r="A228" s="248">
        <v>115</v>
      </c>
      <c r="B228" s="110"/>
      <c r="C228" s="105"/>
      <c r="D228" s="106" t="s">
        <v>7</v>
      </c>
      <c r="E228" s="115">
        <f t="shared" si="70"/>
        <v>620</v>
      </c>
      <c r="F228" s="115">
        <v>620</v>
      </c>
      <c r="G228" s="117"/>
      <c r="H228" s="122">
        <f t="shared" si="71"/>
        <v>49532.2</v>
      </c>
      <c r="I228" s="122">
        <v>49532.2</v>
      </c>
      <c r="J228" s="122"/>
      <c r="K228" s="53"/>
    </row>
    <row r="229" spans="1:11" s="46" customFormat="1" ht="15.75" x14ac:dyDescent="0.25">
      <c r="A229" s="248">
        <v>115</v>
      </c>
      <c r="B229" s="110"/>
      <c r="C229" s="105"/>
      <c r="D229" s="185" t="s">
        <v>8</v>
      </c>
      <c r="E229" s="115">
        <f t="shared" si="70"/>
        <v>630</v>
      </c>
      <c r="F229" s="115">
        <v>630</v>
      </c>
      <c r="G229" s="117"/>
      <c r="H229" s="122">
        <f t="shared" si="71"/>
        <v>59702.8</v>
      </c>
      <c r="I229" s="122">
        <v>59702.8</v>
      </c>
      <c r="J229" s="122"/>
      <c r="K229" s="53"/>
    </row>
    <row r="230" spans="1:11" s="46" customFormat="1" ht="15.75" x14ac:dyDescent="0.25">
      <c r="A230" s="248">
        <v>115</v>
      </c>
      <c r="B230" s="110"/>
      <c r="C230" s="105"/>
      <c r="D230" s="106" t="s">
        <v>5</v>
      </c>
      <c r="E230" s="115">
        <f t="shared" si="70"/>
        <v>220</v>
      </c>
      <c r="F230" s="115">
        <v>220</v>
      </c>
      <c r="G230" s="117"/>
      <c r="H230" s="122">
        <f t="shared" si="71"/>
        <v>21236.400000000001</v>
      </c>
      <c r="I230" s="122">
        <v>21236.400000000001</v>
      </c>
      <c r="J230" s="122"/>
      <c r="K230" s="53"/>
    </row>
    <row r="231" spans="1:11" s="46" customFormat="1" ht="15.75" x14ac:dyDescent="0.25">
      <c r="A231" s="248">
        <v>115</v>
      </c>
      <c r="B231" s="110"/>
      <c r="C231" s="105"/>
      <c r="D231" s="106" t="s">
        <v>4</v>
      </c>
      <c r="E231" s="115">
        <f t="shared" si="70"/>
        <v>980</v>
      </c>
      <c r="F231" s="115">
        <v>980</v>
      </c>
      <c r="G231" s="117"/>
      <c r="H231" s="122">
        <f t="shared" si="71"/>
        <v>81578.8</v>
      </c>
      <c r="I231" s="122">
        <v>81578.8</v>
      </c>
      <c r="J231" s="122"/>
      <c r="K231" s="53"/>
    </row>
    <row r="232" spans="1:11" s="46" customFormat="1" ht="15.75" x14ac:dyDescent="0.25">
      <c r="A232" s="248">
        <v>115</v>
      </c>
      <c r="B232" s="110"/>
      <c r="C232" s="130"/>
      <c r="D232" s="145" t="s">
        <v>183</v>
      </c>
      <c r="E232" s="128">
        <f>ROUND(E221+E224+E225+E226+E227+E228+E229+E230+E231,0)</f>
        <v>5366</v>
      </c>
      <c r="F232" s="128">
        <f>ROUND(F221+F224+F225+F226+F227+F228+F229+F230+F231,0)</f>
        <v>5366</v>
      </c>
      <c r="G232" s="128">
        <f>ROUND(G221+G224+G225+G226+G227+G228+G229+G230+G231,0)</f>
        <v>0</v>
      </c>
      <c r="H232" s="129">
        <f t="shared" ref="H232:J232" si="72">ROUND(H221+H224+H225+H226+H227+H228+H229+H230+H231,1)</f>
        <v>439587.3</v>
      </c>
      <c r="I232" s="129">
        <f t="shared" si="72"/>
        <v>439587.3</v>
      </c>
      <c r="J232" s="129">
        <f t="shared" si="72"/>
        <v>0</v>
      </c>
      <c r="K232" s="53"/>
    </row>
    <row r="233" spans="1:11" s="46" customFormat="1" ht="28.5" customHeight="1" x14ac:dyDescent="0.25">
      <c r="A233" s="248">
        <v>81</v>
      </c>
      <c r="B233" s="110">
        <v>81</v>
      </c>
      <c r="C233" s="399" t="s">
        <v>106</v>
      </c>
      <c r="D233" s="400"/>
      <c r="E233" s="116"/>
      <c r="F233" s="116"/>
      <c r="G233" s="116"/>
      <c r="H233" s="121"/>
      <c r="I233" s="121"/>
      <c r="J233" s="121"/>
      <c r="K233" s="53"/>
    </row>
    <row r="234" spans="1:11" s="46" customFormat="1" ht="22.5" customHeight="1" x14ac:dyDescent="0.25">
      <c r="A234" s="248">
        <v>81</v>
      </c>
      <c r="B234" s="110"/>
      <c r="C234" s="107"/>
      <c r="D234" s="108" t="s">
        <v>469</v>
      </c>
      <c r="E234" s="115">
        <f t="shared" ref="E234:E238" si="73">F234+G234</f>
        <v>140</v>
      </c>
      <c r="F234" s="115">
        <v>140</v>
      </c>
      <c r="G234" s="117"/>
      <c r="H234" s="122">
        <f t="shared" ref="H234:H238" si="74">I234+J234</f>
        <v>7337</v>
      </c>
      <c r="I234" s="122">
        <v>7337</v>
      </c>
      <c r="J234" s="122"/>
      <c r="K234" s="53"/>
    </row>
    <row r="235" spans="1:11" s="46" customFormat="1" ht="45" x14ac:dyDescent="0.25">
      <c r="A235" s="248">
        <v>81</v>
      </c>
      <c r="B235" s="110"/>
      <c r="C235" s="105"/>
      <c r="D235" s="189" t="s">
        <v>419</v>
      </c>
      <c r="E235" s="115">
        <f t="shared" si="73"/>
        <v>7</v>
      </c>
      <c r="F235" s="115">
        <v>7</v>
      </c>
      <c r="G235" s="117"/>
      <c r="H235" s="122">
        <f t="shared" si="74"/>
        <v>366.8</v>
      </c>
      <c r="I235" s="122">
        <v>366.8</v>
      </c>
      <c r="J235" s="122"/>
      <c r="K235" s="53"/>
    </row>
    <row r="236" spans="1:11" s="46" customFormat="1" ht="15.75" x14ac:dyDescent="0.25">
      <c r="A236" s="248">
        <v>81</v>
      </c>
      <c r="B236" s="110"/>
      <c r="C236" s="105"/>
      <c r="D236" s="108" t="s">
        <v>7</v>
      </c>
      <c r="E236" s="115">
        <f t="shared" si="73"/>
        <v>274</v>
      </c>
      <c r="F236" s="115">
        <v>274</v>
      </c>
      <c r="G236" s="117"/>
      <c r="H236" s="122">
        <f t="shared" si="74"/>
        <v>23034.2</v>
      </c>
      <c r="I236" s="122">
        <v>23034.2</v>
      </c>
      <c r="J236" s="122"/>
      <c r="K236" s="53"/>
    </row>
    <row r="237" spans="1:11" s="46" customFormat="1" ht="15.75" x14ac:dyDescent="0.25">
      <c r="A237" s="248">
        <v>81</v>
      </c>
      <c r="B237" s="110"/>
      <c r="C237" s="105"/>
      <c r="D237" s="108" t="s">
        <v>8</v>
      </c>
      <c r="E237" s="115">
        <f t="shared" si="73"/>
        <v>272</v>
      </c>
      <c r="F237" s="115">
        <v>272</v>
      </c>
      <c r="G237" s="117"/>
      <c r="H237" s="122">
        <f t="shared" si="74"/>
        <v>18971.900000000001</v>
      </c>
      <c r="I237" s="122">
        <v>18971.900000000001</v>
      </c>
      <c r="J237" s="122"/>
      <c r="K237" s="53"/>
    </row>
    <row r="238" spans="1:11" s="46" customFormat="1" ht="15.75" x14ac:dyDescent="0.25">
      <c r="A238" s="248">
        <v>81</v>
      </c>
      <c r="B238" s="110"/>
      <c r="C238" s="105"/>
      <c r="D238" s="108" t="s">
        <v>4</v>
      </c>
      <c r="E238" s="115">
        <f t="shared" si="73"/>
        <v>315</v>
      </c>
      <c r="F238" s="115">
        <v>315</v>
      </c>
      <c r="G238" s="117"/>
      <c r="H238" s="122">
        <f t="shared" si="74"/>
        <v>20243.8</v>
      </c>
      <c r="I238" s="122">
        <v>20243.8</v>
      </c>
      <c r="J238" s="122"/>
      <c r="K238" s="53"/>
    </row>
    <row r="239" spans="1:11" s="46" customFormat="1" ht="15.75" x14ac:dyDescent="0.25">
      <c r="A239" s="248">
        <v>81</v>
      </c>
      <c r="B239" s="110"/>
      <c r="C239" s="148"/>
      <c r="D239" s="127" t="s">
        <v>183</v>
      </c>
      <c r="E239" s="128">
        <f>ROUND(E234+E235+E236+E237+E238,1)</f>
        <v>1008</v>
      </c>
      <c r="F239" s="128">
        <f>ROUND(F234+F235+F236+F237+F238,1)</f>
        <v>1008</v>
      </c>
      <c r="G239" s="128">
        <f t="shared" ref="G239:J239" si="75">ROUND(G234+G235+G236+G237+G238,1)</f>
        <v>0</v>
      </c>
      <c r="H239" s="129">
        <f t="shared" si="75"/>
        <v>69953.7</v>
      </c>
      <c r="I239" s="129">
        <f t="shared" si="75"/>
        <v>69953.7</v>
      </c>
      <c r="J239" s="129">
        <f t="shared" si="75"/>
        <v>0</v>
      </c>
      <c r="K239" s="53"/>
    </row>
    <row r="240" spans="1:11" s="46" customFormat="1" ht="15.75" x14ac:dyDescent="0.25">
      <c r="A240" s="248">
        <v>144</v>
      </c>
      <c r="B240" s="104">
        <v>144</v>
      </c>
      <c r="C240" s="399" t="s">
        <v>24</v>
      </c>
      <c r="D240" s="400"/>
      <c r="E240" s="115"/>
      <c r="F240" s="115"/>
      <c r="G240" s="117"/>
      <c r="H240" s="122"/>
      <c r="I240" s="122"/>
      <c r="J240" s="122"/>
      <c r="K240" s="53"/>
    </row>
    <row r="241" spans="1:11" s="46" customFormat="1" ht="90" x14ac:dyDescent="0.25">
      <c r="A241" s="248">
        <v>144</v>
      </c>
      <c r="B241" s="104"/>
      <c r="C241" s="105"/>
      <c r="D241" s="108" t="s">
        <v>469</v>
      </c>
      <c r="E241" s="115">
        <f t="shared" ref="E241:E266" si="76">F241+G241</f>
        <v>1359</v>
      </c>
      <c r="F241" s="115">
        <v>1302</v>
      </c>
      <c r="G241" s="117">
        <v>57</v>
      </c>
      <c r="H241" s="122">
        <f t="shared" ref="H241:H262" si="77">I241+J241</f>
        <v>100700.2</v>
      </c>
      <c r="I241" s="122">
        <v>84699.599999999991</v>
      </c>
      <c r="J241" s="122">
        <v>16000.6</v>
      </c>
      <c r="K241" s="53"/>
    </row>
    <row r="242" spans="1:11" s="46" customFormat="1" ht="30" x14ac:dyDescent="0.25">
      <c r="A242" s="248">
        <v>144</v>
      </c>
      <c r="B242" s="104"/>
      <c r="C242" s="105"/>
      <c r="D242" s="106" t="s">
        <v>205</v>
      </c>
      <c r="E242" s="115">
        <f t="shared" si="76"/>
        <v>78</v>
      </c>
      <c r="F242" s="115">
        <v>78</v>
      </c>
      <c r="G242" s="117"/>
      <c r="H242" s="122">
        <f t="shared" si="77"/>
        <v>4044.8</v>
      </c>
      <c r="I242" s="122">
        <v>4044.8</v>
      </c>
      <c r="J242" s="122"/>
      <c r="K242" s="53"/>
    </row>
    <row r="243" spans="1:11" s="46" customFormat="1" ht="18.75" customHeight="1" x14ac:dyDescent="0.25">
      <c r="A243" s="248">
        <v>144</v>
      </c>
      <c r="B243" s="104"/>
      <c r="C243" s="105"/>
      <c r="D243" s="106" t="s">
        <v>206</v>
      </c>
      <c r="E243" s="115">
        <f t="shared" si="76"/>
        <v>1744</v>
      </c>
      <c r="F243" s="115">
        <v>1744</v>
      </c>
      <c r="G243" s="117"/>
      <c r="H243" s="122">
        <f t="shared" si="77"/>
        <v>267495.2</v>
      </c>
      <c r="I243" s="122">
        <v>267495.2</v>
      </c>
      <c r="J243" s="122"/>
      <c r="K243" s="53"/>
    </row>
    <row r="244" spans="1:11" s="46" customFormat="1" ht="15.75" x14ac:dyDescent="0.25">
      <c r="A244" s="248">
        <v>144</v>
      </c>
      <c r="B244" s="104"/>
      <c r="C244" s="105"/>
      <c r="D244" s="106" t="s">
        <v>207</v>
      </c>
      <c r="E244" s="115">
        <f t="shared" si="76"/>
        <v>100</v>
      </c>
      <c r="F244" s="115">
        <v>100</v>
      </c>
      <c r="G244" s="117"/>
      <c r="H244" s="122">
        <f t="shared" si="77"/>
        <v>15708</v>
      </c>
      <c r="I244" s="122">
        <v>15708</v>
      </c>
      <c r="J244" s="122"/>
      <c r="K244" s="53"/>
    </row>
    <row r="245" spans="1:11" s="46" customFormat="1" ht="15.75" x14ac:dyDescent="0.25">
      <c r="A245" s="248">
        <v>144</v>
      </c>
      <c r="B245" s="104"/>
      <c r="C245" s="105"/>
      <c r="D245" s="106" t="s">
        <v>19</v>
      </c>
      <c r="E245" s="115">
        <f t="shared" si="76"/>
        <v>228</v>
      </c>
      <c r="F245" s="115">
        <v>0</v>
      </c>
      <c r="G245" s="117">
        <f>235-7</f>
        <v>228</v>
      </c>
      <c r="H245" s="122">
        <f t="shared" si="77"/>
        <v>75566.899999999994</v>
      </c>
      <c r="I245" s="122">
        <v>0</v>
      </c>
      <c r="J245" s="122">
        <f>75010.2+556.7</f>
        <v>75566.899999999994</v>
      </c>
      <c r="K245" s="53"/>
    </row>
    <row r="246" spans="1:11" s="46" customFormat="1" ht="15.75" x14ac:dyDescent="0.25">
      <c r="A246" s="248">
        <v>144</v>
      </c>
      <c r="B246" s="104"/>
      <c r="C246" s="105"/>
      <c r="D246" s="106" t="s">
        <v>16</v>
      </c>
      <c r="E246" s="115">
        <f t="shared" si="76"/>
        <v>1450</v>
      </c>
      <c r="F246" s="115">
        <v>1450</v>
      </c>
      <c r="G246" s="117"/>
      <c r="H246" s="122">
        <f t="shared" si="77"/>
        <v>102659.1</v>
      </c>
      <c r="I246" s="122">
        <v>102659.1</v>
      </c>
      <c r="J246" s="122"/>
      <c r="K246" s="53"/>
    </row>
    <row r="247" spans="1:11" s="46" customFormat="1" ht="15.75" x14ac:dyDescent="0.25">
      <c r="A247" s="248">
        <v>144</v>
      </c>
      <c r="B247" s="104"/>
      <c r="C247" s="105"/>
      <c r="D247" s="106" t="s">
        <v>208</v>
      </c>
      <c r="E247" s="115">
        <f t="shared" si="76"/>
        <v>1060</v>
      </c>
      <c r="F247" s="115">
        <v>1060</v>
      </c>
      <c r="G247" s="117"/>
      <c r="H247" s="122">
        <f t="shared" si="77"/>
        <v>61904.6</v>
      </c>
      <c r="I247" s="122">
        <v>61904.6</v>
      </c>
      <c r="J247" s="122"/>
      <c r="K247" s="53"/>
    </row>
    <row r="248" spans="1:11" s="46" customFormat="1" ht="15.75" x14ac:dyDescent="0.25">
      <c r="A248" s="248">
        <v>144</v>
      </c>
      <c r="B248" s="104"/>
      <c r="C248" s="105"/>
      <c r="D248" s="106" t="s">
        <v>9</v>
      </c>
      <c r="E248" s="115">
        <f t="shared" si="76"/>
        <v>3442</v>
      </c>
      <c r="F248" s="115">
        <v>3442</v>
      </c>
      <c r="G248" s="117"/>
      <c r="H248" s="122">
        <f t="shared" si="77"/>
        <v>331378.8</v>
      </c>
      <c r="I248" s="122">
        <v>331378.8</v>
      </c>
      <c r="J248" s="122"/>
      <c r="K248" s="53"/>
    </row>
    <row r="249" spans="1:11" s="46" customFormat="1" ht="15.75" x14ac:dyDescent="0.25">
      <c r="A249" s="248">
        <v>144</v>
      </c>
      <c r="B249" s="104"/>
      <c r="C249" s="105"/>
      <c r="D249" s="114" t="s">
        <v>209</v>
      </c>
      <c r="E249" s="115">
        <f t="shared" si="76"/>
        <v>2361</v>
      </c>
      <c r="F249" s="115">
        <v>2361</v>
      </c>
      <c r="G249" s="117"/>
      <c r="H249" s="122">
        <f t="shared" si="77"/>
        <v>224186.1</v>
      </c>
      <c r="I249" s="122">
        <v>224186.1</v>
      </c>
      <c r="J249" s="122"/>
      <c r="K249" s="53"/>
    </row>
    <row r="250" spans="1:11" s="46" customFormat="1" ht="15.75" x14ac:dyDescent="0.25">
      <c r="A250" s="248">
        <v>144</v>
      </c>
      <c r="B250" s="104"/>
      <c r="C250" s="105"/>
      <c r="D250" s="106" t="s">
        <v>189</v>
      </c>
      <c r="E250" s="115">
        <f t="shared" si="76"/>
        <v>1003</v>
      </c>
      <c r="F250" s="115">
        <v>588</v>
      </c>
      <c r="G250" s="117">
        <f>365+50</f>
        <v>415</v>
      </c>
      <c r="H250" s="122">
        <f t="shared" si="77"/>
        <v>211411.7</v>
      </c>
      <c r="I250" s="122">
        <v>77106.099999999991</v>
      </c>
      <c r="J250" s="122">
        <f>123339.3+10966.3</f>
        <v>134305.60000000001</v>
      </c>
      <c r="K250" s="53"/>
    </row>
    <row r="251" spans="1:11" s="46" customFormat="1" ht="15.75" x14ac:dyDescent="0.25">
      <c r="A251" s="248">
        <v>144</v>
      </c>
      <c r="B251" s="104"/>
      <c r="C251" s="105"/>
      <c r="D251" s="106" t="s">
        <v>197</v>
      </c>
      <c r="E251" s="115">
        <f t="shared" si="76"/>
        <v>740</v>
      </c>
      <c r="F251" s="115">
        <v>740</v>
      </c>
      <c r="G251" s="117"/>
      <c r="H251" s="122">
        <f t="shared" si="77"/>
        <v>90114.099999999991</v>
      </c>
      <c r="I251" s="122">
        <v>90114.099999999991</v>
      </c>
      <c r="J251" s="122"/>
      <c r="K251" s="53"/>
    </row>
    <row r="252" spans="1:11" s="46" customFormat="1" ht="45" x14ac:dyDescent="0.25">
      <c r="A252" s="248">
        <v>144</v>
      </c>
      <c r="B252" s="104"/>
      <c r="C252" s="105"/>
      <c r="D252" s="106" t="s">
        <v>10</v>
      </c>
      <c r="E252" s="115">
        <f t="shared" si="76"/>
        <v>52</v>
      </c>
      <c r="F252" s="115">
        <v>12</v>
      </c>
      <c r="G252" s="117">
        <v>40</v>
      </c>
      <c r="H252" s="122">
        <f t="shared" si="77"/>
        <v>8667.1</v>
      </c>
      <c r="I252" s="122">
        <v>2175.2000000000003</v>
      </c>
      <c r="J252" s="122">
        <v>6491.9</v>
      </c>
      <c r="K252" s="53"/>
    </row>
    <row r="253" spans="1:11" s="46" customFormat="1" ht="15.75" x14ac:dyDescent="0.25">
      <c r="A253" s="248">
        <v>144</v>
      </c>
      <c r="B253" s="104"/>
      <c r="C253" s="105"/>
      <c r="D253" s="106" t="s">
        <v>25</v>
      </c>
      <c r="E253" s="115">
        <f t="shared" si="76"/>
        <v>2003</v>
      </c>
      <c r="F253" s="115">
        <v>1802</v>
      </c>
      <c r="G253" s="117">
        <f>305-25-79</f>
        <v>201</v>
      </c>
      <c r="H253" s="122">
        <f t="shared" si="77"/>
        <v>120488.1</v>
      </c>
      <c r="I253" s="122">
        <v>97557.3</v>
      </c>
      <c r="J253" s="122">
        <f>34831.3-2256.1-9644.4</f>
        <v>22930.800000000003</v>
      </c>
      <c r="K253" s="53"/>
    </row>
    <row r="254" spans="1:11" s="46" customFormat="1" ht="15.75" x14ac:dyDescent="0.25">
      <c r="A254" s="248">
        <v>144</v>
      </c>
      <c r="B254" s="104"/>
      <c r="C254" s="105"/>
      <c r="D254" s="106" t="s">
        <v>210</v>
      </c>
      <c r="E254" s="115">
        <f t="shared" si="76"/>
        <v>600</v>
      </c>
      <c r="F254" s="115">
        <v>600</v>
      </c>
      <c r="G254" s="117"/>
      <c r="H254" s="122">
        <f t="shared" si="77"/>
        <v>33145</v>
      </c>
      <c r="I254" s="122">
        <v>33145</v>
      </c>
      <c r="J254" s="122"/>
      <c r="K254" s="53"/>
    </row>
    <row r="255" spans="1:11" s="46" customFormat="1" ht="15.75" x14ac:dyDescent="0.25">
      <c r="A255" s="248">
        <v>144</v>
      </c>
      <c r="B255" s="104"/>
      <c r="C255" s="105"/>
      <c r="D255" s="106" t="s">
        <v>12</v>
      </c>
      <c r="E255" s="115">
        <f t="shared" si="76"/>
        <v>1056</v>
      </c>
      <c r="F255" s="115">
        <v>1056</v>
      </c>
      <c r="G255" s="117"/>
      <c r="H255" s="122">
        <f t="shared" si="77"/>
        <v>67426.600000000006</v>
      </c>
      <c r="I255" s="122">
        <v>67426.600000000006</v>
      </c>
      <c r="J255" s="122"/>
      <c r="K255" s="53"/>
    </row>
    <row r="256" spans="1:11" s="46" customFormat="1" ht="15.75" x14ac:dyDescent="0.25">
      <c r="A256" s="248">
        <v>144</v>
      </c>
      <c r="B256" s="104"/>
      <c r="C256" s="105"/>
      <c r="D256" s="106" t="s">
        <v>40</v>
      </c>
      <c r="E256" s="115">
        <f t="shared" si="76"/>
        <v>2500</v>
      </c>
      <c r="F256" s="115">
        <v>1309</v>
      </c>
      <c r="G256" s="117">
        <f>1205+2-16</f>
        <v>1191</v>
      </c>
      <c r="H256" s="122">
        <f t="shared" si="77"/>
        <v>559903.99999999988</v>
      </c>
      <c r="I256" s="122">
        <v>166697.69999999998</v>
      </c>
      <c r="J256" s="122">
        <f>388235.1+3479.6+1491.6</f>
        <v>393206.29999999993</v>
      </c>
      <c r="K256" s="53"/>
    </row>
    <row r="257" spans="1:11" s="46" customFormat="1" ht="15.75" x14ac:dyDescent="0.25">
      <c r="A257" s="248">
        <v>144</v>
      </c>
      <c r="B257" s="104"/>
      <c r="C257" s="105"/>
      <c r="D257" s="106" t="s">
        <v>8</v>
      </c>
      <c r="E257" s="115">
        <f t="shared" si="76"/>
        <v>1030</v>
      </c>
      <c r="F257" s="115">
        <v>1030</v>
      </c>
      <c r="G257" s="117"/>
      <c r="H257" s="122">
        <f t="shared" si="77"/>
        <v>32913.899999999994</v>
      </c>
      <c r="I257" s="122">
        <v>32913.899999999994</v>
      </c>
      <c r="J257" s="122"/>
      <c r="K257" s="53"/>
    </row>
    <row r="258" spans="1:11" s="46" customFormat="1" ht="15.75" x14ac:dyDescent="0.25">
      <c r="A258" s="248">
        <v>144</v>
      </c>
      <c r="B258" s="104"/>
      <c r="C258" s="105"/>
      <c r="D258" s="106" t="s">
        <v>211</v>
      </c>
      <c r="E258" s="115">
        <f t="shared" si="76"/>
        <v>348</v>
      </c>
      <c r="F258" s="115">
        <v>348</v>
      </c>
      <c r="G258" s="117"/>
      <c r="H258" s="122">
        <f t="shared" si="77"/>
        <v>5849.7</v>
      </c>
      <c r="I258" s="122">
        <v>5849.7</v>
      </c>
      <c r="J258" s="122"/>
      <c r="K258" s="53"/>
    </row>
    <row r="259" spans="1:11" s="46" customFormat="1" ht="15.75" x14ac:dyDescent="0.25">
      <c r="A259" s="248">
        <v>144</v>
      </c>
      <c r="B259" s="104"/>
      <c r="C259" s="105"/>
      <c r="D259" s="106" t="s">
        <v>467</v>
      </c>
      <c r="E259" s="115">
        <f t="shared" si="76"/>
        <v>674</v>
      </c>
      <c r="F259" s="115">
        <v>604</v>
      </c>
      <c r="G259" s="117">
        <f>50+20</f>
        <v>70</v>
      </c>
      <c r="H259" s="122">
        <f t="shared" si="77"/>
        <v>57449.999999999993</v>
      </c>
      <c r="I259" s="122">
        <v>39292.299999999996</v>
      </c>
      <c r="J259" s="122">
        <f>12765.3+5392.4</f>
        <v>18157.699999999997</v>
      </c>
      <c r="K259" s="53"/>
    </row>
    <row r="260" spans="1:11" s="46" customFormat="1" ht="15.75" x14ac:dyDescent="0.25">
      <c r="A260" s="248">
        <v>144</v>
      </c>
      <c r="B260" s="104"/>
      <c r="C260" s="105"/>
      <c r="D260" s="106" t="s">
        <v>5</v>
      </c>
      <c r="E260" s="115">
        <f t="shared" si="76"/>
        <v>1316</v>
      </c>
      <c r="F260" s="115">
        <v>424</v>
      </c>
      <c r="G260" s="117">
        <f>910-18</f>
        <v>892</v>
      </c>
      <c r="H260" s="122">
        <f t="shared" si="77"/>
        <v>264057.40000000002</v>
      </c>
      <c r="I260" s="122">
        <v>39214.699999999997</v>
      </c>
      <c r="J260" s="122">
        <f>227386.6-2543.9</f>
        <v>224842.7</v>
      </c>
      <c r="K260" s="53"/>
    </row>
    <row r="261" spans="1:11" s="46" customFormat="1" ht="15.75" x14ac:dyDescent="0.25">
      <c r="A261" s="248">
        <v>144</v>
      </c>
      <c r="B261" s="104"/>
      <c r="C261" s="105"/>
      <c r="D261" s="106" t="s">
        <v>13</v>
      </c>
      <c r="E261" s="115">
        <f t="shared" si="76"/>
        <v>1052</v>
      </c>
      <c r="F261" s="115">
        <v>1026</v>
      </c>
      <c r="G261" s="117">
        <f>53-27</f>
        <v>26</v>
      </c>
      <c r="H261" s="122">
        <f t="shared" si="77"/>
        <v>94527.9</v>
      </c>
      <c r="I261" s="122">
        <v>91048.7</v>
      </c>
      <c r="J261" s="122">
        <f>7002.6-3523.4</f>
        <v>3479.2000000000003</v>
      </c>
      <c r="K261" s="53"/>
    </row>
    <row r="262" spans="1:11" s="46" customFormat="1" ht="16.5" customHeight="1" x14ac:dyDescent="0.25">
      <c r="A262" s="248">
        <v>144</v>
      </c>
      <c r="B262" s="104"/>
      <c r="C262" s="105"/>
      <c r="D262" s="106" t="s">
        <v>4</v>
      </c>
      <c r="E262" s="115">
        <f t="shared" si="76"/>
        <v>2333</v>
      </c>
      <c r="F262" s="115">
        <v>2248</v>
      </c>
      <c r="G262" s="117">
        <v>85</v>
      </c>
      <c r="H262" s="122">
        <f t="shared" si="77"/>
        <v>217055.1</v>
      </c>
      <c r="I262" s="122">
        <v>196185.60000000001</v>
      </c>
      <c r="J262" s="122">
        <v>20869.5</v>
      </c>
      <c r="K262" s="53"/>
    </row>
    <row r="263" spans="1:11" s="46" customFormat="1" ht="15.75" x14ac:dyDescent="0.25">
      <c r="A263" s="248">
        <v>144</v>
      </c>
      <c r="B263" s="104"/>
      <c r="C263" s="105"/>
      <c r="D263" s="106" t="s">
        <v>190</v>
      </c>
      <c r="E263" s="115">
        <f t="shared" si="76"/>
        <v>179</v>
      </c>
      <c r="F263" s="115">
        <v>158</v>
      </c>
      <c r="G263" s="117">
        <f>24-3</f>
        <v>21</v>
      </c>
      <c r="H263" s="122">
        <f>I263+J263</f>
        <v>59110.600000000006</v>
      </c>
      <c r="I263" s="122">
        <v>33003.300000000003</v>
      </c>
      <c r="J263" s="122">
        <f>32884.3-6777</f>
        <v>26107.300000000003</v>
      </c>
      <c r="K263" s="53"/>
    </row>
    <row r="264" spans="1:11" s="46" customFormat="1" ht="15.75" x14ac:dyDescent="0.25">
      <c r="A264" s="248">
        <v>144</v>
      </c>
      <c r="B264" s="104"/>
      <c r="C264" s="105"/>
      <c r="D264" s="106" t="s">
        <v>41</v>
      </c>
      <c r="E264" s="115">
        <f t="shared" si="76"/>
        <v>1413</v>
      </c>
      <c r="F264" s="115">
        <v>1390</v>
      </c>
      <c r="G264" s="117">
        <f>20+3</f>
        <v>23</v>
      </c>
      <c r="H264" s="122">
        <f t="shared" ref="H264:H266" si="78">I264+J264</f>
        <v>94674.000000000015</v>
      </c>
      <c r="I264" s="122">
        <v>90514.900000000009</v>
      </c>
      <c r="J264" s="122">
        <f>3616.6+542.5</f>
        <v>4159.1000000000004</v>
      </c>
      <c r="K264" s="53"/>
    </row>
    <row r="265" spans="1:11" s="46" customFormat="1" ht="15.75" x14ac:dyDescent="0.25">
      <c r="A265" s="248">
        <v>144</v>
      </c>
      <c r="B265" s="104"/>
      <c r="C265" s="107"/>
      <c r="D265" s="106" t="s">
        <v>204</v>
      </c>
      <c r="E265" s="115">
        <f t="shared" si="76"/>
        <v>760</v>
      </c>
      <c r="F265" s="115">
        <v>740</v>
      </c>
      <c r="G265" s="115">
        <v>20</v>
      </c>
      <c r="H265" s="122">
        <f t="shared" si="78"/>
        <v>65548</v>
      </c>
      <c r="I265" s="122">
        <v>60430.5</v>
      </c>
      <c r="J265" s="122">
        <v>5117.5</v>
      </c>
      <c r="K265" s="53"/>
    </row>
    <row r="266" spans="1:11" s="46" customFormat="1" ht="15.75" x14ac:dyDescent="0.25">
      <c r="A266" s="248">
        <v>144</v>
      </c>
      <c r="B266" s="104"/>
      <c r="C266" s="107"/>
      <c r="D266" s="106" t="s">
        <v>196</v>
      </c>
      <c r="E266" s="115">
        <f t="shared" si="76"/>
        <v>495</v>
      </c>
      <c r="F266" s="115">
        <v>495</v>
      </c>
      <c r="G266" s="115"/>
      <c r="H266" s="122">
        <f t="shared" si="78"/>
        <v>67359.199999999997</v>
      </c>
      <c r="I266" s="122">
        <v>67359.199999999997</v>
      </c>
      <c r="J266" s="122"/>
      <c r="K266" s="53"/>
    </row>
    <row r="267" spans="1:11" s="46" customFormat="1" ht="15.75" x14ac:dyDescent="0.25">
      <c r="A267" s="248">
        <v>144</v>
      </c>
      <c r="B267" s="104"/>
      <c r="C267" s="126"/>
      <c r="D267" s="145" t="s">
        <v>183</v>
      </c>
      <c r="E267" s="128">
        <f>ROUND(E240+E241+E242+E243+E244+E245+E246+E247+E248+E250+E251+E252+E253+E254+E255+E256+E257+E258+E259+E260+E261+E262+E263+E264+E265+E266,1)</f>
        <v>27015</v>
      </c>
      <c r="F267" s="128">
        <f>ROUND(F240+F241+F242+F243+F244+F245+F246+F247+F248+F250+F251+F252+F253+F254+F255+F256+F257+F258+F259+F260+F261+F262+F263+F264+F265+F266,1)</f>
        <v>23746</v>
      </c>
      <c r="G267" s="128">
        <f t="shared" ref="G267:I267" si="79">ROUND(G240+G241+G242+G243+G244+G245+G246+G247+G248+G250+G251+G252+G253+G254+G255+G256+G257+G258+G259+G260+G261+G262+G263+G264+G265+G266,1)</f>
        <v>3269</v>
      </c>
      <c r="H267" s="129">
        <f t="shared" si="79"/>
        <v>3009160</v>
      </c>
      <c r="I267" s="129">
        <f t="shared" si="79"/>
        <v>2057924.9</v>
      </c>
      <c r="J267" s="129">
        <f>ROUND(J240+J241+J242+J243+J244+J245+J246+J247+J248+J250+J251+J252+J253+J254+J255+J256+J257+J258+J259+J260+J261+J262+J263+J264+J265+J266,1)</f>
        <v>951235.1</v>
      </c>
      <c r="K267" s="53"/>
    </row>
    <row r="268" spans="1:11" s="46" customFormat="1" ht="15.75" x14ac:dyDescent="0.25">
      <c r="A268" s="250">
        <f>B268</f>
        <v>26</v>
      </c>
      <c r="B268" s="110">
        <v>26</v>
      </c>
      <c r="C268" s="399" t="s">
        <v>212</v>
      </c>
      <c r="D268" s="400"/>
      <c r="E268" s="116"/>
      <c r="F268" s="116"/>
      <c r="G268" s="116"/>
      <c r="H268" s="121"/>
      <c r="I268" s="121"/>
      <c r="J268" s="121"/>
      <c r="K268" s="53"/>
    </row>
    <row r="269" spans="1:11" s="46" customFormat="1" ht="15.75" x14ac:dyDescent="0.25">
      <c r="A269" s="250">
        <f>A268</f>
        <v>26</v>
      </c>
      <c r="B269" s="110"/>
      <c r="C269" s="125"/>
      <c r="D269" s="95" t="s">
        <v>37</v>
      </c>
      <c r="E269" s="115">
        <f>F269+G269</f>
        <v>830</v>
      </c>
      <c r="F269" s="115">
        <v>830</v>
      </c>
      <c r="G269" s="117"/>
      <c r="H269" s="122">
        <f>I269+J269</f>
        <v>54530</v>
      </c>
      <c r="I269" s="122">
        <v>54530</v>
      </c>
      <c r="J269" s="122"/>
      <c r="K269" s="53"/>
    </row>
    <row r="270" spans="1:11" s="46" customFormat="1" ht="15.75" x14ac:dyDescent="0.25">
      <c r="A270" s="250">
        <f>A269</f>
        <v>26</v>
      </c>
      <c r="B270" s="110"/>
      <c r="C270" s="130"/>
      <c r="D270" s="190" t="s">
        <v>183</v>
      </c>
      <c r="E270" s="128">
        <f>ROUND(E269,0)</f>
        <v>830</v>
      </c>
      <c r="F270" s="128">
        <f>ROUND(F269,0)</f>
        <v>830</v>
      </c>
      <c r="G270" s="128">
        <f>ROUND(G269,0)</f>
        <v>0</v>
      </c>
      <c r="H270" s="129">
        <f t="shared" ref="H270:J270" si="80">ROUND(H269,1)</f>
        <v>54530</v>
      </c>
      <c r="I270" s="129">
        <f t="shared" si="80"/>
        <v>54530</v>
      </c>
      <c r="J270" s="129">
        <f t="shared" si="80"/>
        <v>0</v>
      </c>
      <c r="K270" s="53"/>
    </row>
    <row r="271" spans="1:11" s="46" customFormat="1" ht="15.75" x14ac:dyDescent="0.25">
      <c r="A271" s="248">
        <v>83</v>
      </c>
      <c r="B271" s="110">
        <v>83</v>
      </c>
      <c r="C271" s="399" t="s">
        <v>107</v>
      </c>
      <c r="D271" s="400"/>
      <c r="E271" s="116"/>
      <c r="F271" s="116"/>
      <c r="G271" s="116"/>
      <c r="H271" s="121"/>
      <c r="I271" s="121"/>
      <c r="J271" s="121"/>
      <c r="K271" s="53"/>
    </row>
    <row r="272" spans="1:11" s="46" customFormat="1" ht="90" x14ac:dyDescent="0.25">
      <c r="A272" s="248">
        <v>83</v>
      </c>
      <c r="B272" s="110"/>
      <c r="C272" s="107"/>
      <c r="D272" s="108" t="s">
        <v>469</v>
      </c>
      <c r="E272" s="115">
        <f t="shared" ref="E272:E275" si="81">F272+G272</f>
        <v>300</v>
      </c>
      <c r="F272" s="115">
        <v>300</v>
      </c>
      <c r="G272" s="117"/>
      <c r="H272" s="122">
        <f t="shared" ref="H272:H275" si="82">I272+J272</f>
        <v>22318.7</v>
      </c>
      <c r="I272" s="122">
        <v>22318.7</v>
      </c>
      <c r="J272" s="122"/>
      <c r="K272" s="53"/>
    </row>
    <row r="273" spans="1:11" s="46" customFormat="1" ht="15.75" x14ac:dyDescent="0.25">
      <c r="A273" s="248">
        <v>83</v>
      </c>
      <c r="B273" s="110"/>
      <c r="C273" s="105"/>
      <c r="D273" s="106" t="s">
        <v>8</v>
      </c>
      <c r="E273" s="115">
        <f t="shared" si="81"/>
        <v>1441</v>
      </c>
      <c r="F273" s="115">
        <f>1560+60-179</f>
        <v>1441</v>
      </c>
      <c r="G273" s="117"/>
      <c r="H273" s="122">
        <f t="shared" si="82"/>
        <v>95580.699999999983</v>
      </c>
      <c r="I273" s="122">
        <f>241701.3-16692.9-90980.3-38447.4</f>
        <v>95580.699999999983</v>
      </c>
      <c r="J273" s="122"/>
      <c r="K273" s="53"/>
    </row>
    <row r="274" spans="1:11" s="46" customFormat="1" ht="15.75" x14ac:dyDescent="0.25">
      <c r="A274" s="248">
        <v>83</v>
      </c>
      <c r="B274" s="110"/>
      <c r="C274" s="105"/>
      <c r="D274" s="106" t="s">
        <v>5</v>
      </c>
      <c r="E274" s="115">
        <f t="shared" si="81"/>
        <v>190</v>
      </c>
      <c r="F274" s="115">
        <v>190</v>
      </c>
      <c r="G274" s="117"/>
      <c r="H274" s="122">
        <f t="shared" si="82"/>
        <v>9225.1</v>
      </c>
      <c r="I274" s="122">
        <v>9225.1</v>
      </c>
      <c r="J274" s="122"/>
      <c r="K274" s="53"/>
    </row>
    <row r="275" spans="1:11" s="46" customFormat="1" ht="15.75" x14ac:dyDescent="0.25">
      <c r="A275" s="248">
        <v>83</v>
      </c>
      <c r="B275" s="110"/>
      <c r="C275" s="105"/>
      <c r="D275" s="106" t="s">
        <v>4</v>
      </c>
      <c r="E275" s="115">
        <f t="shared" si="81"/>
        <v>792</v>
      </c>
      <c r="F275" s="115">
        <v>792</v>
      </c>
      <c r="G275" s="117"/>
      <c r="H275" s="122">
        <f t="shared" si="82"/>
        <v>49527.5</v>
      </c>
      <c r="I275" s="122">
        <v>49527.5</v>
      </c>
      <c r="J275" s="122"/>
      <c r="K275" s="53"/>
    </row>
    <row r="276" spans="1:11" s="46" customFormat="1" ht="15.75" x14ac:dyDescent="0.25">
      <c r="A276" s="248">
        <v>83</v>
      </c>
      <c r="B276" s="110"/>
      <c r="C276" s="130"/>
      <c r="D276" s="145" t="s">
        <v>183</v>
      </c>
      <c r="E276" s="128">
        <f>ROUND(E272+E273+E274+E275,0)</f>
        <v>2723</v>
      </c>
      <c r="F276" s="128">
        <f>ROUND(F272+F273+F274+F275,0)</f>
        <v>2723</v>
      </c>
      <c r="G276" s="128">
        <f>ROUND(G272+G273+G274+G275,0)</f>
        <v>0</v>
      </c>
      <c r="H276" s="129">
        <f t="shared" ref="H276:J276" si="83">ROUND(H272+H273+H274+H275,1)</f>
        <v>176652</v>
      </c>
      <c r="I276" s="129">
        <f t="shared" si="83"/>
        <v>176652</v>
      </c>
      <c r="J276" s="129">
        <f t="shared" si="83"/>
        <v>0</v>
      </c>
      <c r="K276" s="53"/>
    </row>
    <row r="277" spans="1:11" s="46" customFormat="1" ht="15.75" x14ac:dyDescent="0.25">
      <c r="A277" s="248">
        <v>188</v>
      </c>
      <c r="B277" s="110">
        <v>188</v>
      </c>
      <c r="C277" s="399" t="s">
        <v>108</v>
      </c>
      <c r="D277" s="400"/>
      <c r="E277" s="116"/>
      <c r="F277" s="116"/>
      <c r="G277" s="116"/>
      <c r="H277" s="121"/>
      <c r="I277" s="121"/>
      <c r="J277" s="121"/>
      <c r="K277" s="53"/>
    </row>
    <row r="278" spans="1:11" s="46" customFormat="1" ht="15.75" x14ac:dyDescent="0.25">
      <c r="A278" s="248">
        <v>188</v>
      </c>
      <c r="B278" s="110"/>
      <c r="C278" s="107"/>
      <c r="D278" s="95" t="s">
        <v>19</v>
      </c>
      <c r="E278" s="115">
        <f t="shared" ref="E278:E280" si="84">F278+G278</f>
        <v>8557</v>
      </c>
      <c r="F278" s="115">
        <v>7947</v>
      </c>
      <c r="G278" s="117">
        <v>610</v>
      </c>
      <c r="H278" s="122">
        <f t="shared" ref="H278:H280" si="85">I278+J278</f>
        <v>1121449.7</v>
      </c>
      <c r="I278" s="122">
        <f>760058.3+197204.6</f>
        <v>957262.9</v>
      </c>
      <c r="J278" s="122">
        <v>164186.79999999999</v>
      </c>
      <c r="K278" s="53"/>
    </row>
    <row r="279" spans="1:11" s="46" customFormat="1" ht="15.75" x14ac:dyDescent="0.25">
      <c r="A279" s="248">
        <v>188</v>
      </c>
      <c r="B279" s="110"/>
      <c r="C279" s="105"/>
      <c r="D279" s="106" t="s">
        <v>214</v>
      </c>
      <c r="E279" s="115">
        <f t="shared" si="84"/>
        <v>317</v>
      </c>
      <c r="F279" s="115">
        <v>317</v>
      </c>
      <c r="G279" s="117"/>
      <c r="H279" s="122">
        <f t="shared" si="85"/>
        <v>44276.1</v>
      </c>
      <c r="I279" s="122">
        <v>44276.1</v>
      </c>
      <c r="J279" s="122"/>
      <c r="K279" s="53"/>
    </row>
    <row r="280" spans="1:11" s="46" customFormat="1" ht="15.75" x14ac:dyDescent="0.25">
      <c r="A280" s="248">
        <v>188</v>
      </c>
      <c r="B280" s="110"/>
      <c r="C280" s="105"/>
      <c r="D280" s="106" t="s">
        <v>4</v>
      </c>
      <c r="E280" s="115">
        <f t="shared" si="84"/>
        <v>1500</v>
      </c>
      <c r="F280" s="115">
        <v>1500</v>
      </c>
      <c r="G280" s="117"/>
      <c r="H280" s="122">
        <f t="shared" si="85"/>
        <v>37725.5</v>
      </c>
      <c r="I280" s="122">
        <f>234930.1-197204.6</f>
        <v>37725.5</v>
      </c>
      <c r="J280" s="122"/>
      <c r="K280" s="53"/>
    </row>
    <row r="281" spans="1:11" s="46" customFormat="1" ht="15.75" x14ac:dyDescent="0.25">
      <c r="A281" s="248">
        <v>188</v>
      </c>
      <c r="B281" s="110"/>
      <c r="C281" s="130"/>
      <c r="D281" s="145" t="s">
        <v>183</v>
      </c>
      <c r="E281" s="128">
        <f>ROUND(E278+E279+E280,0)</f>
        <v>10374</v>
      </c>
      <c r="F281" s="128">
        <f>ROUND(F278+F279+F280,0)</f>
        <v>9764</v>
      </c>
      <c r="G281" s="128">
        <f>ROUND(G278+G279+G280,0)</f>
        <v>610</v>
      </c>
      <c r="H281" s="129">
        <f t="shared" ref="H281:J281" si="86">ROUND(H278+H279+H280,1)</f>
        <v>1203451.3</v>
      </c>
      <c r="I281" s="129">
        <f t="shared" si="86"/>
        <v>1039264.5</v>
      </c>
      <c r="J281" s="129">
        <f t="shared" si="86"/>
        <v>164186.79999999999</v>
      </c>
      <c r="K281" s="53"/>
    </row>
    <row r="282" spans="1:11" s="46" customFormat="1" ht="15.75" x14ac:dyDescent="0.25">
      <c r="A282" s="248">
        <v>85</v>
      </c>
      <c r="B282" s="110">
        <v>85</v>
      </c>
      <c r="C282" s="191" t="s">
        <v>109</v>
      </c>
      <c r="D282" s="92"/>
      <c r="E282" s="116"/>
      <c r="F282" s="116"/>
      <c r="G282" s="116"/>
      <c r="H282" s="121"/>
      <c r="I282" s="121"/>
      <c r="J282" s="121"/>
      <c r="K282" s="53"/>
    </row>
    <row r="283" spans="1:11" s="46" customFormat="1" ht="60" x14ac:dyDescent="0.25">
      <c r="A283" s="248">
        <v>85</v>
      </c>
      <c r="B283" s="110"/>
      <c r="C283" s="107"/>
      <c r="D283" s="108" t="s">
        <v>470</v>
      </c>
      <c r="E283" s="115">
        <f t="shared" ref="E283:E289" si="87">F283+G283</f>
        <v>151</v>
      </c>
      <c r="F283" s="115">
        <v>151</v>
      </c>
      <c r="G283" s="117"/>
      <c r="H283" s="122">
        <f t="shared" ref="H283:H289" si="88">I283+J283</f>
        <v>3043.6</v>
      </c>
      <c r="I283" s="122">
        <v>3043.6</v>
      </c>
      <c r="J283" s="122"/>
      <c r="K283" s="53"/>
    </row>
    <row r="284" spans="1:11" s="46" customFormat="1" ht="30" x14ac:dyDescent="0.25">
      <c r="A284" s="248">
        <v>85</v>
      </c>
      <c r="B284" s="110"/>
      <c r="C284" s="105"/>
      <c r="D284" s="113" t="s">
        <v>182</v>
      </c>
      <c r="E284" s="115">
        <f t="shared" si="87"/>
        <v>6</v>
      </c>
      <c r="F284" s="115">
        <v>6</v>
      </c>
      <c r="G284" s="117"/>
      <c r="H284" s="122">
        <f t="shared" si="88"/>
        <v>373.2</v>
      </c>
      <c r="I284" s="122">
        <v>373.2</v>
      </c>
      <c r="J284" s="122"/>
      <c r="K284" s="53"/>
    </row>
    <row r="285" spans="1:11" s="46" customFormat="1" ht="30" x14ac:dyDescent="0.25">
      <c r="A285" s="248">
        <v>85</v>
      </c>
      <c r="B285" s="110"/>
      <c r="C285" s="105"/>
      <c r="D285" s="113" t="s">
        <v>364</v>
      </c>
      <c r="E285" s="115">
        <f t="shared" si="87"/>
        <v>14</v>
      </c>
      <c r="F285" s="115">
        <v>14</v>
      </c>
      <c r="G285" s="117"/>
      <c r="H285" s="122">
        <f t="shared" si="88"/>
        <v>931.1</v>
      </c>
      <c r="I285" s="122">
        <v>931.1</v>
      </c>
      <c r="J285" s="122"/>
      <c r="K285" s="53"/>
    </row>
    <row r="286" spans="1:11" s="46" customFormat="1" ht="15.75" x14ac:dyDescent="0.25">
      <c r="A286" s="248">
        <v>85</v>
      </c>
      <c r="B286" s="110"/>
      <c r="C286" s="105"/>
      <c r="D286" s="106" t="s">
        <v>6</v>
      </c>
      <c r="E286" s="115">
        <f t="shared" si="87"/>
        <v>262</v>
      </c>
      <c r="F286" s="115">
        <v>262</v>
      </c>
      <c r="G286" s="117"/>
      <c r="H286" s="122">
        <f t="shared" si="88"/>
        <v>19020.3</v>
      </c>
      <c r="I286" s="122">
        <v>19020.3</v>
      </c>
      <c r="J286" s="122"/>
      <c r="K286" s="53"/>
    </row>
    <row r="287" spans="1:11" s="46" customFormat="1" ht="15.75" x14ac:dyDescent="0.25">
      <c r="A287" s="248">
        <v>85</v>
      </c>
      <c r="B287" s="110"/>
      <c r="C287" s="105"/>
      <c r="D287" s="106" t="s">
        <v>7</v>
      </c>
      <c r="E287" s="115">
        <f t="shared" si="87"/>
        <v>251</v>
      </c>
      <c r="F287" s="115">
        <v>251</v>
      </c>
      <c r="G287" s="117"/>
      <c r="H287" s="122">
        <f t="shared" si="88"/>
        <v>19336.599999999999</v>
      </c>
      <c r="I287" s="122">
        <v>19336.599999999999</v>
      </c>
      <c r="J287" s="122"/>
      <c r="K287" s="53"/>
    </row>
    <row r="288" spans="1:11" s="46" customFormat="1" ht="15.75" x14ac:dyDescent="0.25">
      <c r="A288" s="248">
        <v>85</v>
      </c>
      <c r="B288" s="110"/>
      <c r="C288" s="105"/>
      <c r="D288" s="106" t="s">
        <v>8</v>
      </c>
      <c r="E288" s="115">
        <f t="shared" si="87"/>
        <v>989</v>
      </c>
      <c r="F288" s="115">
        <f>789+200</f>
        <v>989</v>
      </c>
      <c r="G288" s="117"/>
      <c r="H288" s="122">
        <f t="shared" si="88"/>
        <v>49050</v>
      </c>
      <c r="I288" s="122">
        <v>49050</v>
      </c>
      <c r="J288" s="122"/>
      <c r="K288" s="53"/>
    </row>
    <row r="289" spans="1:11" s="46" customFormat="1" ht="15.75" x14ac:dyDescent="0.25">
      <c r="A289" s="248">
        <v>85</v>
      </c>
      <c r="B289" s="110"/>
      <c r="C289" s="105"/>
      <c r="D289" s="106" t="s">
        <v>4</v>
      </c>
      <c r="E289" s="115">
        <f t="shared" si="87"/>
        <v>475</v>
      </c>
      <c r="F289" s="115">
        <v>475</v>
      </c>
      <c r="G289" s="117"/>
      <c r="H289" s="122">
        <f t="shared" si="88"/>
        <v>31208.100000000002</v>
      </c>
      <c r="I289" s="122">
        <v>31208.100000000002</v>
      </c>
      <c r="J289" s="122"/>
      <c r="K289" s="53"/>
    </row>
    <row r="290" spans="1:11" s="46" customFormat="1" ht="15.75" x14ac:dyDescent="0.25">
      <c r="A290" s="248">
        <v>85</v>
      </c>
      <c r="B290" s="110"/>
      <c r="C290" s="149"/>
      <c r="D290" s="127" t="s">
        <v>183</v>
      </c>
      <c r="E290" s="128">
        <f>ROUND(E283+E286+E287+E288+E289,1)</f>
        <v>2128</v>
      </c>
      <c r="F290" s="128">
        <f>ROUND(F283+F286+F287+F288+F289,1)</f>
        <v>2128</v>
      </c>
      <c r="G290" s="128">
        <f t="shared" ref="G290:J290" si="89">ROUND(G283+G286+G287+G288+G289,1)</f>
        <v>0</v>
      </c>
      <c r="H290" s="129">
        <f t="shared" si="89"/>
        <v>121658.6</v>
      </c>
      <c r="I290" s="129">
        <f t="shared" si="89"/>
        <v>121658.6</v>
      </c>
      <c r="J290" s="129">
        <f t="shared" si="89"/>
        <v>0</v>
      </c>
      <c r="K290" s="53"/>
    </row>
    <row r="291" spans="1:11" s="46" customFormat="1" ht="18.75" customHeight="1" x14ac:dyDescent="0.25">
      <c r="A291" s="248">
        <v>87</v>
      </c>
      <c r="B291" s="104">
        <v>87</v>
      </c>
      <c r="C291" s="399" t="s">
        <v>28</v>
      </c>
      <c r="D291" s="400"/>
      <c r="E291" s="115"/>
      <c r="F291" s="115"/>
      <c r="G291" s="117"/>
      <c r="H291" s="122"/>
      <c r="I291" s="122"/>
      <c r="J291" s="122"/>
      <c r="K291" s="53"/>
    </row>
    <row r="292" spans="1:11" s="46" customFormat="1" ht="90" x14ac:dyDescent="0.25">
      <c r="A292" s="248">
        <v>87</v>
      </c>
      <c r="B292" s="104"/>
      <c r="C292" s="105"/>
      <c r="D292" s="108" t="s">
        <v>469</v>
      </c>
      <c r="E292" s="115">
        <f t="shared" ref="E292:E297" si="90">F292+G292</f>
        <v>125</v>
      </c>
      <c r="F292" s="115">
        <v>125</v>
      </c>
      <c r="G292" s="117"/>
      <c r="H292" s="122">
        <f t="shared" ref="H292:H297" si="91">I292+J292</f>
        <v>4561.8999999999996</v>
      </c>
      <c r="I292" s="122">
        <v>4561.8999999999996</v>
      </c>
      <c r="J292" s="122"/>
      <c r="K292" s="53"/>
    </row>
    <row r="293" spans="1:11" s="46" customFormat="1" ht="17.25" customHeight="1" x14ac:dyDescent="0.25">
      <c r="A293" s="248">
        <v>87</v>
      </c>
      <c r="B293" s="104"/>
      <c r="C293" s="105"/>
      <c r="D293" s="106" t="s">
        <v>6</v>
      </c>
      <c r="E293" s="115">
        <f t="shared" si="90"/>
        <v>157</v>
      </c>
      <c r="F293" s="115">
        <v>157</v>
      </c>
      <c r="G293" s="117"/>
      <c r="H293" s="122">
        <f t="shared" si="91"/>
        <v>7082.3</v>
      </c>
      <c r="I293" s="122">
        <v>7082.3</v>
      </c>
      <c r="J293" s="122"/>
      <c r="K293" s="53"/>
    </row>
    <row r="294" spans="1:11" s="46" customFormat="1" ht="15.75" x14ac:dyDescent="0.25">
      <c r="A294" s="248">
        <v>87</v>
      </c>
      <c r="B294" s="104"/>
      <c r="C294" s="105"/>
      <c r="D294" s="106" t="s">
        <v>7</v>
      </c>
      <c r="E294" s="115">
        <f t="shared" si="90"/>
        <v>470</v>
      </c>
      <c r="F294" s="115">
        <f>350+120</f>
        <v>470</v>
      </c>
      <c r="G294" s="117"/>
      <c r="H294" s="122">
        <f t="shared" si="91"/>
        <v>18266.8</v>
      </c>
      <c r="I294" s="122">
        <v>18266.8</v>
      </c>
      <c r="J294" s="122"/>
      <c r="K294" s="53"/>
    </row>
    <row r="295" spans="1:11" s="46" customFormat="1" ht="15.75" x14ac:dyDescent="0.25">
      <c r="A295" s="248">
        <v>87</v>
      </c>
      <c r="B295" s="104"/>
      <c r="C295" s="105"/>
      <c r="D295" s="106" t="s">
        <v>8</v>
      </c>
      <c r="E295" s="115">
        <f t="shared" si="90"/>
        <v>1408</v>
      </c>
      <c r="F295" s="115">
        <v>1408</v>
      </c>
      <c r="G295" s="117"/>
      <c r="H295" s="122">
        <f t="shared" si="91"/>
        <v>62688.400000000009</v>
      </c>
      <c r="I295" s="122">
        <f>69872.1-7183.7</f>
        <v>62688.400000000009</v>
      </c>
      <c r="J295" s="122"/>
      <c r="K295" s="53"/>
    </row>
    <row r="296" spans="1:11" s="46" customFormat="1" ht="18" customHeight="1" x14ac:dyDescent="0.25">
      <c r="A296" s="248">
        <v>87</v>
      </c>
      <c r="B296" s="104"/>
      <c r="C296" s="105"/>
      <c r="D296" s="106" t="s">
        <v>5</v>
      </c>
      <c r="E296" s="115">
        <f t="shared" si="90"/>
        <v>38</v>
      </c>
      <c r="F296" s="115">
        <v>38</v>
      </c>
      <c r="G296" s="117"/>
      <c r="H296" s="122">
        <f t="shared" si="91"/>
        <v>1870.6</v>
      </c>
      <c r="I296" s="122">
        <v>1870.6</v>
      </c>
      <c r="J296" s="122"/>
      <c r="K296" s="53"/>
    </row>
    <row r="297" spans="1:11" s="46" customFormat="1" ht="15.75" x14ac:dyDescent="0.25">
      <c r="A297" s="248">
        <v>87</v>
      </c>
      <c r="B297" s="104"/>
      <c r="C297" s="105"/>
      <c r="D297" s="106" t="s">
        <v>4</v>
      </c>
      <c r="E297" s="115">
        <f t="shared" si="90"/>
        <v>252</v>
      </c>
      <c r="F297" s="115">
        <f>200+52</f>
        <v>252</v>
      </c>
      <c r="G297" s="117"/>
      <c r="H297" s="122">
        <f t="shared" si="91"/>
        <v>12957.8</v>
      </c>
      <c r="I297" s="122">
        <v>12957.8</v>
      </c>
      <c r="J297" s="122"/>
      <c r="K297" s="53"/>
    </row>
    <row r="298" spans="1:11" s="46" customFormat="1" ht="15.75" customHeight="1" x14ac:dyDescent="0.25">
      <c r="A298" s="248">
        <v>87</v>
      </c>
      <c r="B298" s="104"/>
      <c r="C298" s="126"/>
      <c r="D298" s="145" t="s">
        <v>183</v>
      </c>
      <c r="E298" s="128">
        <f>ROUND(E291+E292+E293+E294+E295+E296+E297,0)</f>
        <v>2450</v>
      </c>
      <c r="F298" s="128">
        <f>ROUND(F291+F292+F293+F294+F295+F296+F297,0)</f>
        <v>2450</v>
      </c>
      <c r="G298" s="128">
        <f>ROUND(G291+G292+G293+G294+G295+G296+G297,0)</f>
        <v>0</v>
      </c>
      <c r="H298" s="129">
        <f t="shared" ref="H298:J298" si="92">ROUND(H291+H292+H293+H294+H295+H296+H297,1)</f>
        <v>107427.8</v>
      </c>
      <c r="I298" s="129">
        <f t="shared" si="92"/>
        <v>107427.8</v>
      </c>
      <c r="J298" s="129">
        <f t="shared" si="92"/>
        <v>0</v>
      </c>
      <c r="K298" s="53"/>
    </row>
    <row r="299" spans="1:11" s="46" customFormat="1" ht="15.75" customHeight="1" x14ac:dyDescent="0.25">
      <c r="A299" s="248">
        <v>204</v>
      </c>
      <c r="B299" s="110">
        <v>204</v>
      </c>
      <c r="C299" s="399" t="s">
        <v>100</v>
      </c>
      <c r="D299" s="400"/>
      <c r="E299" s="116"/>
      <c r="F299" s="116"/>
      <c r="G299" s="116"/>
      <c r="H299" s="121"/>
      <c r="I299" s="121"/>
      <c r="J299" s="121"/>
      <c r="K299" s="53"/>
    </row>
    <row r="300" spans="1:11" s="46" customFormat="1" ht="15.75" x14ac:dyDescent="0.25">
      <c r="A300" s="248">
        <v>204</v>
      </c>
      <c r="B300" s="110"/>
      <c r="C300" s="125"/>
      <c r="D300" s="95" t="s">
        <v>4</v>
      </c>
      <c r="E300" s="115">
        <f t="shared" ref="E300:E302" si="93">F300+G300</f>
        <v>791</v>
      </c>
      <c r="F300" s="115">
        <v>791</v>
      </c>
      <c r="G300" s="117"/>
      <c r="H300" s="122">
        <f t="shared" ref="H300:H302" si="94">I300+J300</f>
        <v>71155.900000000009</v>
      </c>
      <c r="I300" s="122">
        <v>71155.900000000009</v>
      </c>
      <c r="J300" s="122"/>
      <c r="K300" s="53"/>
    </row>
    <row r="301" spans="1:11" s="46" customFormat="1" ht="15.75" x14ac:dyDescent="0.25">
      <c r="A301" s="248">
        <v>204</v>
      </c>
      <c r="B301" s="110"/>
      <c r="C301" s="206"/>
      <c r="D301" s="95" t="s">
        <v>5</v>
      </c>
      <c r="E301" s="115">
        <f t="shared" si="93"/>
        <v>67</v>
      </c>
      <c r="F301" s="115">
        <v>0</v>
      </c>
      <c r="G301" s="118">
        <f>62+4+1</f>
        <v>67</v>
      </c>
      <c r="H301" s="122">
        <f t="shared" si="94"/>
        <v>13612.5</v>
      </c>
      <c r="I301" s="122">
        <v>0</v>
      </c>
      <c r="J301" s="122">
        <f>13240.2+226+146.3</f>
        <v>13612.5</v>
      </c>
      <c r="K301" s="53"/>
    </row>
    <row r="302" spans="1:11" s="46" customFormat="1" ht="15.75" x14ac:dyDescent="0.25">
      <c r="A302" s="248">
        <v>204</v>
      </c>
      <c r="B302" s="110"/>
      <c r="C302" s="206"/>
      <c r="D302" s="95" t="s">
        <v>41</v>
      </c>
      <c r="E302" s="115">
        <f t="shared" si="93"/>
        <v>11</v>
      </c>
      <c r="F302" s="115">
        <v>0</v>
      </c>
      <c r="G302" s="118">
        <f>15-4</f>
        <v>11</v>
      </c>
      <c r="H302" s="122">
        <f t="shared" si="94"/>
        <v>1989.2</v>
      </c>
      <c r="I302" s="122">
        <v>0</v>
      </c>
      <c r="J302" s="122">
        <f>2712.5-723.3</f>
        <v>1989.2</v>
      </c>
      <c r="K302" s="53"/>
    </row>
    <row r="303" spans="1:11" s="46" customFormat="1" ht="19.5" customHeight="1" x14ac:dyDescent="0.25">
      <c r="A303" s="248">
        <v>204</v>
      </c>
      <c r="B303" s="110"/>
      <c r="C303" s="207"/>
      <c r="D303" s="132" t="s">
        <v>183</v>
      </c>
      <c r="E303" s="128">
        <f>ROUND(E300+E301+E302,0)</f>
        <v>869</v>
      </c>
      <c r="F303" s="128">
        <f>ROUND(F300+F301+F302,0)</f>
        <v>791</v>
      </c>
      <c r="G303" s="128">
        <f>ROUND(G300+G301+G302,0)</f>
        <v>78</v>
      </c>
      <c r="H303" s="129">
        <f t="shared" ref="H303:J303" si="95">ROUND(H300+H301+H302,1)</f>
        <v>86757.6</v>
      </c>
      <c r="I303" s="129">
        <f t="shared" si="95"/>
        <v>71155.899999999994</v>
      </c>
      <c r="J303" s="129">
        <f t="shared" si="95"/>
        <v>15601.7</v>
      </c>
      <c r="K303" s="53"/>
    </row>
    <row r="304" spans="1:11" s="46" customFormat="1" ht="19.5" customHeight="1" x14ac:dyDescent="0.25">
      <c r="A304" s="248">
        <v>298</v>
      </c>
      <c r="B304" s="110">
        <v>298</v>
      </c>
      <c r="C304" s="399" t="s">
        <v>199</v>
      </c>
      <c r="D304" s="400"/>
      <c r="E304" s="128"/>
      <c r="F304" s="128"/>
      <c r="G304" s="128"/>
      <c r="H304" s="129"/>
      <c r="I304" s="129"/>
      <c r="J304" s="129"/>
      <c r="K304" s="53"/>
    </row>
    <row r="305" spans="1:11" s="46" customFormat="1" ht="15.75" x14ac:dyDescent="0.25">
      <c r="A305" s="248">
        <v>298</v>
      </c>
      <c r="B305" s="110"/>
      <c r="C305" s="107"/>
      <c r="D305" s="106" t="s">
        <v>196</v>
      </c>
      <c r="E305" s="115">
        <f>F305+G305</f>
        <v>188</v>
      </c>
      <c r="F305" s="115">
        <f>50+138</f>
        <v>188</v>
      </c>
      <c r="G305" s="117"/>
      <c r="H305" s="122">
        <f>I305+J305</f>
        <v>4089.6000000000004</v>
      </c>
      <c r="I305" s="122">
        <f>1087.3+3002.3</f>
        <v>4089.6000000000004</v>
      </c>
      <c r="J305" s="122"/>
      <c r="K305" s="53"/>
    </row>
    <row r="306" spans="1:11" s="46" customFormat="1" ht="27" customHeight="1" x14ac:dyDescent="0.25">
      <c r="A306" s="248">
        <v>298</v>
      </c>
      <c r="B306" s="110"/>
      <c r="C306" s="107"/>
      <c r="D306" s="106" t="s">
        <v>479</v>
      </c>
      <c r="E306" s="115">
        <f>F306+G306</f>
        <v>28</v>
      </c>
      <c r="F306" s="115">
        <v>28</v>
      </c>
      <c r="G306" s="117"/>
      <c r="H306" s="122">
        <f>I306+J306</f>
        <v>607.6</v>
      </c>
      <c r="I306" s="122">
        <v>607.6</v>
      </c>
      <c r="J306" s="122"/>
      <c r="K306" s="53"/>
    </row>
    <row r="307" spans="1:11" s="46" customFormat="1" ht="15.75" x14ac:dyDescent="0.25">
      <c r="A307" s="248">
        <v>298</v>
      </c>
      <c r="B307" s="110"/>
      <c r="C307" s="148"/>
      <c r="D307" s="127" t="s">
        <v>183</v>
      </c>
      <c r="E307" s="128">
        <f>E305+E306</f>
        <v>216</v>
      </c>
      <c r="F307" s="128">
        <f t="shared" ref="F307:J307" si="96">F305+F306</f>
        <v>216</v>
      </c>
      <c r="G307" s="128">
        <f t="shared" si="96"/>
        <v>0</v>
      </c>
      <c r="H307" s="129">
        <f t="shared" si="96"/>
        <v>4697.2000000000007</v>
      </c>
      <c r="I307" s="129">
        <f t="shared" si="96"/>
        <v>4697.2000000000007</v>
      </c>
      <c r="J307" s="129">
        <f t="shared" si="96"/>
        <v>0</v>
      </c>
      <c r="K307" s="53"/>
    </row>
    <row r="308" spans="1:11" s="46" customFormat="1" ht="15.75" x14ac:dyDescent="0.25">
      <c r="A308" s="248">
        <v>355</v>
      </c>
      <c r="B308" s="104">
        <v>355</v>
      </c>
      <c r="C308" s="399" t="s">
        <v>216</v>
      </c>
      <c r="D308" s="400"/>
      <c r="E308" s="115"/>
      <c r="F308" s="115"/>
      <c r="G308" s="115"/>
      <c r="H308" s="122"/>
      <c r="I308" s="122"/>
      <c r="J308" s="122"/>
      <c r="K308" s="53"/>
    </row>
    <row r="309" spans="1:11" s="46" customFormat="1" ht="15.75" x14ac:dyDescent="0.25">
      <c r="A309" s="248">
        <v>355</v>
      </c>
      <c r="B309" s="104"/>
      <c r="C309" s="105"/>
      <c r="D309" s="106" t="s">
        <v>25</v>
      </c>
      <c r="E309" s="115">
        <f t="shared" ref="E309:E311" si="97">F309+G309</f>
        <v>805</v>
      </c>
      <c r="F309" s="115">
        <v>700</v>
      </c>
      <c r="G309" s="115">
        <f>80+25</f>
        <v>105</v>
      </c>
      <c r="H309" s="122">
        <f t="shared" ref="H309:H311" si="98">I309+J309</f>
        <v>43244.7</v>
      </c>
      <c r="I309" s="122">
        <v>33051.699999999997</v>
      </c>
      <c r="J309" s="122">
        <f>7936.9+2256.1</f>
        <v>10193</v>
      </c>
      <c r="K309" s="53"/>
    </row>
    <row r="310" spans="1:11" s="46" customFormat="1" ht="15.75" x14ac:dyDescent="0.25">
      <c r="A310" s="248">
        <v>355</v>
      </c>
      <c r="B310" s="104"/>
      <c r="C310" s="105"/>
      <c r="D310" s="106" t="s">
        <v>5</v>
      </c>
      <c r="E310" s="115">
        <f t="shared" si="97"/>
        <v>270</v>
      </c>
      <c r="F310" s="115">
        <v>270</v>
      </c>
      <c r="G310" s="115"/>
      <c r="H310" s="122">
        <f t="shared" si="98"/>
        <v>15467.099999999999</v>
      </c>
      <c r="I310" s="122">
        <f>22014.3-6547.2</f>
        <v>15467.099999999999</v>
      </c>
      <c r="J310" s="122"/>
      <c r="K310" s="53"/>
    </row>
    <row r="311" spans="1:11" s="46" customFormat="1" ht="18" customHeight="1" x14ac:dyDescent="0.25">
      <c r="A311" s="248">
        <v>355</v>
      </c>
      <c r="B311" s="104"/>
      <c r="C311" s="107"/>
      <c r="D311" s="106" t="s">
        <v>196</v>
      </c>
      <c r="E311" s="115">
        <f t="shared" si="97"/>
        <v>213</v>
      </c>
      <c r="F311" s="115">
        <v>213</v>
      </c>
      <c r="G311" s="115"/>
      <c r="H311" s="122">
        <f t="shared" si="98"/>
        <v>19863.8</v>
      </c>
      <c r="I311" s="122">
        <f>13316.6+6547.2</f>
        <v>19863.8</v>
      </c>
      <c r="J311" s="122"/>
      <c r="K311" s="53"/>
    </row>
    <row r="312" spans="1:11" s="46" customFormat="1" ht="15.75" customHeight="1" x14ac:dyDescent="0.25">
      <c r="A312" s="248">
        <v>355</v>
      </c>
      <c r="B312" s="109"/>
      <c r="C312" s="130"/>
      <c r="D312" s="127" t="s">
        <v>183</v>
      </c>
      <c r="E312" s="128">
        <f t="shared" ref="E312:J312" si="99">ROUND(E308+E309+E310+E311,1)</f>
        <v>1288</v>
      </c>
      <c r="F312" s="128">
        <f t="shared" si="99"/>
        <v>1183</v>
      </c>
      <c r="G312" s="128">
        <f t="shared" si="99"/>
        <v>105</v>
      </c>
      <c r="H312" s="129">
        <f t="shared" si="99"/>
        <v>78575.600000000006</v>
      </c>
      <c r="I312" s="129">
        <f t="shared" si="99"/>
        <v>68382.600000000006</v>
      </c>
      <c r="J312" s="129">
        <f t="shared" si="99"/>
        <v>10193</v>
      </c>
      <c r="K312" s="53"/>
    </row>
    <row r="313" spans="1:11" s="46" customFormat="1" ht="28.5" customHeight="1" x14ac:dyDescent="0.25">
      <c r="A313" s="248">
        <v>173</v>
      </c>
      <c r="B313" s="104">
        <v>173</v>
      </c>
      <c r="C313" s="399" t="s">
        <v>105</v>
      </c>
      <c r="D313" s="400"/>
      <c r="E313" s="115"/>
      <c r="F313" s="115"/>
      <c r="G313" s="117"/>
      <c r="H313" s="122"/>
      <c r="I313" s="122"/>
      <c r="J313" s="122"/>
      <c r="K313" s="53"/>
    </row>
    <row r="314" spans="1:11" s="46" customFormat="1" ht="15.75" customHeight="1" x14ac:dyDescent="0.25">
      <c r="A314" s="248">
        <v>173</v>
      </c>
      <c r="B314" s="104"/>
      <c r="C314" s="107"/>
      <c r="D314" s="106" t="s">
        <v>9</v>
      </c>
      <c r="E314" s="115">
        <f t="shared" ref="E314:E321" si="100">F314+G314</f>
        <v>300</v>
      </c>
      <c r="F314" s="115">
        <v>300</v>
      </c>
      <c r="G314" s="115"/>
      <c r="H314" s="122">
        <f t="shared" ref="H314:H321" si="101">I314+J314</f>
        <v>12390</v>
      </c>
      <c r="I314" s="122">
        <v>12390</v>
      </c>
      <c r="J314" s="122"/>
      <c r="K314" s="53"/>
    </row>
    <row r="315" spans="1:11" s="46" customFormat="1" ht="15.75" customHeight="1" x14ac:dyDescent="0.25">
      <c r="A315" s="248">
        <v>173</v>
      </c>
      <c r="B315" s="104"/>
      <c r="C315" s="107"/>
      <c r="D315" s="106" t="s">
        <v>468</v>
      </c>
      <c r="E315" s="115">
        <f t="shared" si="100"/>
        <v>1</v>
      </c>
      <c r="F315" s="115">
        <v>1</v>
      </c>
      <c r="G315" s="115"/>
      <c r="H315" s="122">
        <f t="shared" si="101"/>
        <v>46.4</v>
      </c>
      <c r="I315" s="122">
        <v>46.4</v>
      </c>
      <c r="J315" s="122"/>
      <c r="K315" s="53"/>
    </row>
    <row r="316" spans="1:11" s="46" customFormat="1" ht="15.75" x14ac:dyDescent="0.25">
      <c r="A316" s="248">
        <v>173</v>
      </c>
      <c r="B316" s="109"/>
      <c r="C316" s="105"/>
      <c r="D316" s="106" t="s">
        <v>25</v>
      </c>
      <c r="E316" s="115">
        <f t="shared" si="100"/>
        <v>360</v>
      </c>
      <c r="F316" s="115">
        <v>360</v>
      </c>
      <c r="G316" s="119"/>
      <c r="H316" s="122">
        <f t="shared" si="101"/>
        <v>13706.3</v>
      </c>
      <c r="I316" s="122">
        <v>13706.3</v>
      </c>
      <c r="J316" s="122"/>
      <c r="K316" s="53"/>
    </row>
    <row r="317" spans="1:11" s="46" customFormat="1" ht="15.75" x14ac:dyDescent="0.25">
      <c r="A317" s="248">
        <v>173</v>
      </c>
      <c r="B317" s="109"/>
      <c r="C317" s="105"/>
      <c r="D317" s="106" t="s">
        <v>203</v>
      </c>
      <c r="E317" s="115">
        <f t="shared" si="100"/>
        <v>5</v>
      </c>
      <c r="F317" s="115">
        <v>5</v>
      </c>
      <c r="G317" s="119"/>
      <c r="H317" s="122">
        <f t="shared" si="101"/>
        <v>410.7</v>
      </c>
      <c r="I317" s="122">
        <v>410.7</v>
      </c>
      <c r="J317" s="122"/>
      <c r="K317" s="53"/>
    </row>
    <row r="318" spans="1:11" s="46" customFormat="1" ht="15.75" x14ac:dyDescent="0.25">
      <c r="A318" s="248">
        <v>173</v>
      </c>
      <c r="B318" s="109"/>
      <c r="C318" s="105"/>
      <c r="D318" s="106" t="s">
        <v>8</v>
      </c>
      <c r="E318" s="115">
        <f t="shared" si="100"/>
        <v>2210</v>
      </c>
      <c r="F318" s="115">
        <v>2210</v>
      </c>
      <c r="G318" s="119"/>
      <c r="H318" s="122">
        <f t="shared" si="101"/>
        <v>88225.9</v>
      </c>
      <c r="I318" s="122">
        <f>102812-14586.1</f>
        <v>88225.9</v>
      </c>
      <c r="J318" s="122"/>
      <c r="K318" s="53"/>
    </row>
    <row r="319" spans="1:11" s="46" customFormat="1" ht="15.75" x14ac:dyDescent="0.25">
      <c r="A319" s="248">
        <v>173</v>
      </c>
      <c r="B319" s="109"/>
      <c r="C319" s="105"/>
      <c r="D319" s="106" t="s">
        <v>13</v>
      </c>
      <c r="E319" s="115">
        <f t="shared" si="100"/>
        <v>420</v>
      </c>
      <c r="F319" s="115">
        <v>420</v>
      </c>
      <c r="G319" s="119"/>
      <c r="H319" s="122">
        <f t="shared" si="101"/>
        <v>18778.3</v>
      </c>
      <c r="I319" s="122">
        <v>18778.3</v>
      </c>
      <c r="J319" s="122"/>
      <c r="K319" s="53"/>
    </row>
    <row r="320" spans="1:11" s="46" customFormat="1" ht="15.75" customHeight="1" x14ac:dyDescent="0.25">
      <c r="A320" s="248">
        <v>173</v>
      </c>
      <c r="B320" s="109"/>
      <c r="C320" s="105"/>
      <c r="D320" s="106" t="s">
        <v>4</v>
      </c>
      <c r="E320" s="115">
        <f t="shared" si="100"/>
        <v>1270</v>
      </c>
      <c r="F320" s="115">
        <v>1270</v>
      </c>
      <c r="G320" s="119"/>
      <c r="H320" s="122">
        <f t="shared" si="101"/>
        <v>63454.8</v>
      </c>
      <c r="I320" s="122">
        <v>63454.8</v>
      </c>
      <c r="J320" s="122"/>
      <c r="K320" s="53"/>
    </row>
    <row r="321" spans="1:11" s="46" customFormat="1" ht="15.75" x14ac:dyDescent="0.25">
      <c r="A321" s="248">
        <v>173</v>
      </c>
      <c r="B321" s="104"/>
      <c r="C321" s="107"/>
      <c r="D321" s="106" t="s">
        <v>204</v>
      </c>
      <c r="E321" s="115">
        <f t="shared" si="100"/>
        <v>25</v>
      </c>
      <c r="F321" s="115">
        <v>25</v>
      </c>
      <c r="G321" s="117"/>
      <c r="H321" s="122">
        <f t="shared" si="101"/>
        <v>1478.4</v>
      </c>
      <c r="I321" s="122">
        <v>1478.4</v>
      </c>
      <c r="J321" s="122"/>
      <c r="K321" s="53"/>
    </row>
    <row r="322" spans="1:11" s="46" customFormat="1" ht="15.75" customHeight="1" x14ac:dyDescent="0.25">
      <c r="A322" s="248">
        <v>173</v>
      </c>
      <c r="B322" s="109"/>
      <c r="C322" s="130"/>
      <c r="D322" s="145" t="s">
        <v>183</v>
      </c>
      <c r="E322" s="128">
        <f>ROUND(E313+E314+E316+E317+E318+E319+E320+E321+E315,1)</f>
        <v>4591</v>
      </c>
      <c r="F322" s="128">
        <f>ROUND(F313+F314+F316+F317+F318+F319+F320+F321+F315,1)</f>
        <v>4591</v>
      </c>
      <c r="G322" s="128">
        <f t="shared" ref="G322" si="102">ROUND(G313+G314+G316+G317+G318+G319+G320+G321,1)</f>
        <v>0</v>
      </c>
      <c r="H322" s="129">
        <f>ROUND(H313+H314+H316+H317+H318+H319+H320+H321+H315,1)</f>
        <v>198490.8</v>
      </c>
      <c r="I322" s="129">
        <f t="shared" ref="I322:J322" si="103">ROUND(I313+I314+I316+I317+I318+I319+I320+I321+I315,1)</f>
        <v>198490.8</v>
      </c>
      <c r="J322" s="129">
        <f t="shared" si="103"/>
        <v>0</v>
      </c>
      <c r="K322" s="53"/>
    </row>
    <row r="323" spans="1:11" s="46" customFormat="1" ht="21" customHeight="1" x14ac:dyDescent="0.25">
      <c r="A323" s="248">
        <v>466</v>
      </c>
      <c r="B323" s="110">
        <v>466</v>
      </c>
      <c r="C323" s="399" t="s">
        <v>213</v>
      </c>
      <c r="D323" s="400"/>
      <c r="E323" s="116"/>
      <c r="F323" s="116"/>
      <c r="G323" s="116"/>
      <c r="H323" s="121"/>
      <c r="I323" s="121"/>
      <c r="J323" s="121"/>
      <c r="K323" s="53"/>
    </row>
    <row r="324" spans="1:11" s="46" customFormat="1" ht="15.75" customHeight="1" x14ac:dyDescent="0.25">
      <c r="A324" s="248">
        <v>466</v>
      </c>
      <c r="B324" s="110"/>
      <c r="C324" s="107"/>
      <c r="D324" s="95" t="s">
        <v>194</v>
      </c>
      <c r="E324" s="115">
        <f t="shared" ref="E324:E327" si="104">F324+G324</f>
        <v>2</v>
      </c>
      <c r="F324" s="115">
        <v>2</v>
      </c>
      <c r="G324" s="117"/>
      <c r="H324" s="122">
        <f t="shared" ref="H324:H327" si="105">I324+J324</f>
        <v>113.9</v>
      </c>
      <c r="I324" s="122">
        <v>113.9</v>
      </c>
      <c r="J324" s="122"/>
      <c r="K324" s="53"/>
    </row>
    <row r="325" spans="1:11" s="46" customFormat="1" ht="15.75" x14ac:dyDescent="0.25">
      <c r="A325" s="248">
        <v>466</v>
      </c>
      <c r="B325" s="192"/>
      <c r="C325" s="105"/>
      <c r="D325" s="106" t="s">
        <v>16</v>
      </c>
      <c r="E325" s="115">
        <f t="shared" si="104"/>
        <v>400</v>
      </c>
      <c r="F325" s="115">
        <v>400</v>
      </c>
      <c r="G325" s="119"/>
      <c r="H325" s="122">
        <f t="shared" si="105"/>
        <v>29727.7</v>
      </c>
      <c r="I325" s="122">
        <v>29727.7</v>
      </c>
      <c r="J325" s="122"/>
      <c r="K325" s="53"/>
    </row>
    <row r="326" spans="1:11" s="46" customFormat="1" ht="15.75" x14ac:dyDescent="0.25">
      <c r="A326" s="248">
        <v>466</v>
      </c>
      <c r="B326" s="192"/>
      <c r="C326" s="105"/>
      <c r="D326" s="106" t="s">
        <v>40</v>
      </c>
      <c r="E326" s="115">
        <f t="shared" si="104"/>
        <v>300</v>
      </c>
      <c r="F326" s="115">
        <v>300</v>
      </c>
      <c r="G326" s="119"/>
      <c r="H326" s="122">
        <f t="shared" si="105"/>
        <v>27648.5</v>
      </c>
      <c r="I326" s="122">
        <f>51590.1-23941.6</f>
        <v>27648.5</v>
      </c>
      <c r="J326" s="122"/>
      <c r="K326" s="53"/>
    </row>
    <row r="327" spans="1:11" s="46" customFormat="1" ht="15.75" x14ac:dyDescent="0.25">
      <c r="A327" s="248">
        <v>466</v>
      </c>
      <c r="B327" s="192"/>
      <c r="C327" s="105"/>
      <c r="D327" s="225" t="s">
        <v>8</v>
      </c>
      <c r="E327" s="115">
        <f t="shared" si="104"/>
        <v>300</v>
      </c>
      <c r="F327" s="115">
        <v>300</v>
      </c>
      <c r="G327" s="119"/>
      <c r="H327" s="122">
        <f t="shared" si="105"/>
        <v>10078.200000000001</v>
      </c>
      <c r="I327" s="122">
        <f>16352.2-6274</f>
        <v>10078.200000000001</v>
      </c>
      <c r="J327" s="122"/>
      <c r="K327" s="53"/>
    </row>
    <row r="328" spans="1:11" s="46" customFormat="1" ht="15.75" customHeight="1" x14ac:dyDescent="0.25">
      <c r="A328" s="248">
        <v>466</v>
      </c>
      <c r="B328" s="192"/>
      <c r="C328" s="130"/>
      <c r="D328" s="145" t="s">
        <v>183</v>
      </c>
      <c r="E328" s="128">
        <f>ROUND(E324+E325+E326+E327,0)</f>
        <v>1002</v>
      </c>
      <c r="F328" s="128">
        <f t="shared" ref="F328:G328" si="106">ROUND(F324+F325+F326+F327,0)</f>
        <v>1002</v>
      </c>
      <c r="G328" s="128">
        <f t="shared" si="106"/>
        <v>0</v>
      </c>
      <c r="H328" s="129">
        <f>ROUND(H324+H325+H326+H327,1)</f>
        <v>67568.3</v>
      </c>
      <c r="I328" s="129">
        <f>ROUND(I324+I325+I326+I327,1)</f>
        <v>67568.3</v>
      </c>
      <c r="J328" s="129">
        <f t="shared" ref="J328" si="107">ROUND(J324+J325+J326+J327,0)</f>
        <v>0</v>
      </c>
      <c r="K328" s="53"/>
    </row>
    <row r="329" spans="1:11" s="46" customFormat="1" ht="28.5" customHeight="1" x14ac:dyDescent="0.25">
      <c r="A329" s="248">
        <v>465</v>
      </c>
      <c r="B329" s="110">
        <v>465</v>
      </c>
      <c r="C329" s="399" t="s">
        <v>133</v>
      </c>
      <c r="D329" s="400"/>
      <c r="E329" s="116"/>
      <c r="F329" s="116"/>
      <c r="G329" s="116"/>
      <c r="H329" s="121"/>
      <c r="I329" s="121"/>
      <c r="J329" s="121"/>
      <c r="K329" s="53"/>
    </row>
    <row r="330" spans="1:11" s="46" customFormat="1" ht="15.75" customHeight="1" x14ac:dyDescent="0.25">
      <c r="A330" s="248">
        <v>465</v>
      </c>
      <c r="B330" s="110"/>
      <c r="C330" s="107"/>
      <c r="D330" s="95" t="s">
        <v>19</v>
      </c>
      <c r="E330" s="115">
        <f>F330+G330</f>
        <v>760</v>
      </c>
      <c r="F330" s="115">
        <v>760</v>
      </c>
      <c r="G330" s="117"/>
      <c r="H330" s="122">
        <f>I330+J330</f>
        <v>61871.1</v>
      </c>
      <c r="I330" s="122">
        <f>80214.5-18343.4</f>
        <v>61871.1</v>
      </c>
      <c r="J330" s="122"/>
      <c r="K330" s="53"/>
    </row>
    <row r="331" spans="1:11" s="46" customFormat="1" ht="15.75" customHeight="1" x14ac:dyDescent="0.25">
      <c r="A331" s="248">
        <v>465</v>
      </c>
      <c r="B331" s="110"/>
      <c r="C331" s="126"/>
      <c r="D331" s="145" t="s">
        <v>183</v>
      </c>
      <c r="E331" s="128">
        <f>ROUND(E330,0)</f>
        <v>760</v>
      </c>
      <c r="F331" s="128">
        <f>ROUND(F330,0)</f>
        <v>760</v>
      </c>
      <c r="G331" s="133">
        <v>0</v>
      </c>
      <c r="H331" s="134">
        <f t="shared" ref="H331:J331" si="108">H330</f>
        <v>61871.1</v>
      </c>
      <c r="I331" s="134">
        <f t="shared" si="108"/>
        <v>61871.1</v>
      </c>
      <c r="J331" s="134">
        <f t="shared" si="108"/>
        <v>0</v>
      </c>
      <c r="K331" s="53"/>
    </row>
    <row r="332" spans="1:11" s="46" customFormat="1" ht="15.75" customHeight="1" x14ac:dyDescent="0.25">
      <c r="A332" s="248">
        <v>296</v>
      </c>
      <c r="B332" s="110">
        <v>296</v>
      </c>
      <c r="C332" s="399" t="s">
        <v>215</v>
      </c>
      <c r="D332" s="400"/>
      <c r="E332" s="116"/>
      <c r="F332" s="116"/>
      <c r="G332" s="120"/>
      <c r="H332" s="123"/>
      <c r="I332" s="123"/>
      <c r="J332" s="123"/>
      <c r="K332" s="53"/>
    </row>
    <row r="333" spans="1:11" s="46" customFormat="1" ht="15.75" customHeight="1" x14ac:dyDescent="0.25">
      <c r="A333" s="248">
        <v>296</v>
      </c>
      <c r="B333" s="110"/>
      <c r="C333" s="107"/>
      <c r="D333" s="95" t="s">
        <v>196</v>
      </c>
      <c r="E333" s="115">
        <f>F333+G333</f>
        <v>500</v>
      </c>
      <c r="F333" s="115">
        <v>500</v>
      </c>
      <c r="G333" s="117"/>
      <c r="H333" s="122">
        <f>I333+J333</f>
        <v>36410</v>
      </c>
      <c r="I333" s="122">
        <v>36410</v>
      </c>
      <c r="J333" s="122"/>
      <c r="K333" s="53"/>
    </row>
    <row r="334" spans="1:11" s="46" customFormat="1" ht="15.75" customHeight="1" x14ac:dyDescent="0.25">
      <c r="A334" s="248">
        <v>296</v>
      </c>
      <c r="B334" s="192"/>
      <c r="C334" s="149"/>
      <c r="D334" s="127" t="s">
        <v>183</v>
      </c>
      <c r="E334" s="128">
        <f>ROUND(E333,0)</f>
        <v>500</v>
      </c>
      <c r="F334" s="128">
        <f>ROUND(F333,0)</f>
        <v>500</v>
      </c>
      <c r="G334" s="128">
        <f>ROUND(G333,0)</f>
        <v>0</v>
      </c>
      <c r="H334" s="129">
        <f t="shared" ref="H334:J334" si="109">ROUND(H333,1)</f>
        <v>36410</v>
      </c>
      <c r="I334" s="129">
        <f t="shared" si="109"/>
        <v>36410</v>
      </c>
      <c r="J334" s="129">
        <f t="shared" si="109"/>
        <v>0</v>
      </c>
      <c r="K334" s="53"/>
    </row>
    <row r="335" spans="1:11" s="46" customFormat="1" ht="16.5" customHeight="1" x14ac:dyDescent="0.25">
      <c r="A335" s="251">
        <v>463</v>
      </c>
      <c r="B335" s="104">
        <v>463</v>
      </c>
      <c r="C335" s="399" t="s">
        <v>217</v>
      </c>
      <c r="D335" s="400"/>
      <c r="E335" s="115"/>
      <c r="F335" s="115"/>
      <c r="G335" s="117"/>
      <c r="H335" s="122"/>
      <c r="I335" s="122"/>
      <c r="J335" s="122"/>
      <c r="K335" s="53"/>
    </row>
    <row r="336" spans="1:11" s="46" customFormat="1" ht="15.75" customHeight="1" x14ac:dyDescent="0.25">
      <c r="A336" s="251">
        <v>463</v>
      </c>
      <c r="B336" s="109"/>
      <c r="C336" s="105"/>
      <c r="D336" s="106" t="s">
        <v>196</v>
      </c>
      <c r="E336" s="115">
        <f t="shared" ref="E336" si="110">F336+G336</f>
        <v>635</v>
      </c>
      <c r="F336" s="115">
        <f>2366-166-1200-365</f>
        <v>635</v>
      </c>
      <c r="G336" s="119"/>
      <c r="H336" s="122">
        <f>I336+J336</f>
        <v>47652.299999999996</v>
      </c>
      <c r="I336" s="122">
        <f>181822.9-3609.9-101364.8-29195.9</f>
        <v>47652.299999999996</v>
      </c>
      <c r="J336" s="122"/>
      <c r="K336" s="53"/>
    </row>
    <row r="337" spans="1:11" s="46" customFormat="1" ht="15.75" customHeight="1" x14ac:dyDescent="0.25">
      <c r="A337" s="251">
        <v>463</v>
      </c>
      <c r="B337" s="109"/>
      <c r="C337" s="130"/>
      <c r="D337" s="127" t="s">
        <v>183</v>
      </c>
      <c r="E337" s="128">
        <f>ROUND(E335+E336,0)</f>
        <v>635</v>
      </c>
      <c r="F337" s="128">
        <f>ROUND(F335+F336,0)</f>
        <v>635</v>
      </c>
      <c r="G337" s="128">
        <f>ROUND(G335+G336,0)</f>
        <v>0</v>
      </c>
      <c r="H337" s="129">
        <f t="shared" ref="H337:J337" si="111">ROUND(H335+H336,1)</f>
        <v>47652.3</v>
      </c>
      <c r="I337" s="129">
        <f t="shared" si="111"/>
        <v>47652.3</v>
      </c>
      <c r="J337" s="129">
        <f t="shared" si="111"/>
        <v>0</v>
      </c>
      <c r="K337" s="53"/>
    </row>
    <row r="338" spans="1:11" s="46" customFormat="1" ht="21.75" customHeight="1" x14ac:dyDescent="0.25">
      <c r="A338" s="247"/>
      <c r="B338" s="111"/>
      <c r="C338" s="416" t="s">
        <v>43</v>
      </c>
      <c r="D338" s="417"/>
      <c r="E338" s="128">
        <f t="shared" ref="E338:J338" si="112">ROUND(E19+E34+E39+E46+E54+E58+E69+E79+E82+E92+E100+E110+E119+E134+E144+E156+E159+E168+E172+E179+E188+E198+E207+E213+E219+E232+E239+E267+E270+E276+E281+E290+E298+E303+E307+E312+E322+E328+E331+E334+E337+E42,1)</f>
        <v>164659</v>
      </c>
      <c r="F338" s="128">
        <f t="shared" si="112"/>
        <v>159506</v>
      </c>
      <c r="G338" s="128">
        <f t="shared" si="112"/>
        <v>5153</v>
      </c>
      <c r="H338" s="129">
        <f t="shared" si="112"/>
        <v>12388568.800000001</v>
      </c>
      <c r="I338" s="129">
        <f t="shared" si="112"/>
        <v>10991820.6</v>
      </c>
      <c r="J338" s="129">
        <f t="shared" si="112"/>
        <v>1396748.2</v>
      </c>
      <c r="K338" s="53"/>
    </row>
    <row r="339" spans="1:11" s="46" customFormat="1" ht="35.25" customHeight="1" x14ac:dyDescent="0.25">
      <c r="A339" s="247"/>
      <c r="B339" s="112"/>
      <c r="C339" s="418" t="s">
        <v>44</v>
      </c>
      <c r="D339" s="419"/>
      <c r="E339" s="183">
        <f>E340-E338</f>
        <v>19125</v>
      </c>
      <c r="F339" s="49"/>
      <c r="G339" s="49"/>
      <c r="H339" s="50"/>
      <c r="I339" s="50"/>
      <c r="J339" s="50"/>
      <c r="K339" s="53"/>
    </row>
    <row r="340" spans="1:11" s="46" customFormat="1" ht="27.75" customHeight="1" x14ac:dyDescent="0.25">
      <c r="A340" s="247"/>
      <c r="B340" s="112"/>
      <c r="C340" s="418" t="s">
        <v>365</v>
      </c>
      <c r="D340" s="419"/>
      <c r="E340" s="183">
        <f>178090+5694</f>
        <v>183784</v>
      </c>
      <c r="F340" s="49"/>
      <c r="G340" s="49"/>
      <c r="H340" s="50"/>
      <c r="I340" s="50"/>
      <c r="J340" s="50"/>
      <c r="K340" s="53"/>
    </row>
    <row r="341" spans="1:11" s="46" customFormat="1" ht="40.5" customHeight="1" x14ac:dyDescent="0.25">
      <c r="A341" s="247"/>
      <c r="B341" s="55"/>
      <c r="C341" s="420"/>
      <c r="D341" s="420"/>
      <c r="E341" s="98"/>
      <c r="F341" s="99"/>
      <c r="G341" s="99"/>
      <c r="H341" s="100"/>
      <c r="I341" s="101"/>
      <c r="J341" s="101"/>
      <c r="K341" s="53"/>
    </row>
    <row r="342" spans="1:11" ht="31.5" customHeight="1" x14ac:dyDescent="0.25">
      <c r="A342" s="247"/>
      <c r="B342" s="421" t="s">
        <v>464</v>
      </c>
      <c r="C342" s="421"/>
      <c r="D342" s="421"/>
      <c r="E342" s="421"/>
      <c r="F342" s="421"/>
      <c r="G342" s="56"/>
      <c r="H342" s="56"/>
    </row>
    <row r="343" spans="1:11" ht="10.5" customHeight="1" x14ac:dyDescent="0.25">
      <c r="A343" s="247"/>
      <c r="B343" s="47"/>
      <c r="C343" s="47"/>
      <c r="D343" s="79"/>
      <c r="E343" s="79"/>
      <c r="F343" s="79"/>
      <c r="G343" s="56"/>
      <c r="H343" s="56"/>
    </row>
    <row r="344" spans="1:11" ht="45" x14ac:dyDescent="0.25">
      <c r="A344" s="247"/>
      <c r="B344" s="197" t="s">
        <v>2</v>
      </c>
      <c r="C344" s="230" t="s">
        <v>219</v>
      </c>
      <c r="D344" s="77" t="s">
        <v>233</v>
      </c>
      <c r="E344" s="230" t="s">
        <v>367</v>
      </c>
      <c r="F344" s="77" t="s">
        <v>465</v>
      </c>
      <c r="G344" s="56"/>
      <c r="H344" s="1"/>
    </row>
    <row r="345" spans="1:11" ht="15" customHeight="1" x14ac:dyDescent="0.25">
      <c r="A345" s="247"/>
      <c r="B345" s="422"/>
      <c r="C345" s="423" t="s">
        <v>281</v>
      </c>
      <c r="D345" s="424" t="s">
        <v>375</v>
      </c>
      <c r="E345" s="135">
        <v>1</v>
      </c>
      <c r="F345" s="137">
        <v>7</v>
      </c>
      <c r="G345" s="56"/>
      <c r="H345" s="1"/>
    </row>
    <row r="346" spans="1:11" ht="15.75" customHeight="1" x14ac:dyDescent="0.25">
      <c r="A346" s="247"/>
      <c r="B346" s="422"/>
      <c r="C346" s="423"/>
      <c r="D346" s="424"/>
      <c r="E346" s="135">
        <v>2</v>
      </c>
      <c r="F346" s="137">
        <v>50</v>
      </c>
      <c r="G346" s="56"/>
      <c r="H346" s="1"/>
    </row>
    <row r="347" spans="1:11" ht="15.75" x14ac:dyDescent="0.25">
      <c r="A347" s="247"/>
      <c r="B347" s="422"/>
      <c r="C347" s="423"/>
      <c r="D347" s="425" t="s">
        <v>376</v>
      </c>
      <c r="E347" s="135">
        <v>10</v>
      </c>
      <c r="F347" s="137">
        <v>15</v>
      </c>
      <c r="G347" s="56"/>
      <c r="H347" s="1"/>
    </row>
    <row r="348" spans="1:11" ht="15.75" x14ac:dyDescent="0.25">
      <c r="A348" s="247"/>
      <c r="B348" s="422"/>
      <c r="C348" s="423"/>
      <c r="D348" s="425"/>
      <c r="E348" s="135">
        <v>11</v>
      </c>
      <c r="F348" s="137">
        <f>9-3</f>
        <v>6</v>
      </c>
      <c r="G348" s="56"/>
      <c r="H348" s="1"/>
    </row>
    <row r="349" spans="1:11" ht="15.75" x14ac:dyDescent="0.25">
      <c r="A349" s="247"/>
      <c r="B349" s="422"/>
      <c r="C349" s="423"/>
      <c r="D349" s="425" t="s">
        <v>377</v>
      </c>
      <c r="E349" s="135">
        <v>12</v>
      </c>
      <c r="F349" s="137">
        <f>180+55</f>
        <v>235</v>
      </c>
      <c r="G349" s="56"/>
      <c r="H349" s="1"/>
    </row>
    <row r="350" spans="1:11" ht="15.75" x14ac:dyDescent="0.25">
      <c r="A350" s="247"/>
      <c r="B350" s="422"/>
      <c r="C350" s="423"/>
      <c r="D350" s="425"/>
      <c r="E350" s="135">
        <v>13</v>
      </c>
      <c r="F350" s="137">
        <f>5-5</f>
        <v>0</v>
      </c>
      <c r="G350" s="56"/>
      <c r="H350" s="1"/>
    </row>
    <row r="351" spans="1:11" ht="15.75" x14ac:dyDescent="0.25">
      <c r="A351" s="247"/>
      <c r="B351" s="422"/>
      <c r="C351" s="423"/>
      <c r="D351" s="425"/>
      <c r="E351" s="135">
        <v>14</v>
      </c>
      <c r="F351" s="137">
        <v>20</v>
      </c>
      <c r="G351" s="56"/>
      <c r="H351" s="1"/>
    </row>
    <row r="352" spans="1:11" ht="15.75" x14ac:dyDescent="0.25">
      <c r="A352" s="247"/>
      <c r="B352" s="422"/>
      <c r="C352" s="423"/>
      <c r="D352" s="425"/>
      <c r="E352" s="135">
        <v>16</v>
      </c>
      <c r="F352" s="137">
        <v>120</v>
      </c>
      <c r="G352" s="56"/>
      <c r="H352" s="1"/>
    </row>
    <row r="353" spans="1:8" ht="15.75" x14ac:dyDescent="0.25">
      <c r="A353" s="247"/>
      <c r="B353" s="422"/>
      <c r="C353" s="423"/>
      <c r="D353" s="425"/>
      <c r="E353" s="135">
        <v>17</v>
      </c>
      <c r="F353" s="137">
        <v>40</v>
      </c>
      <c r="G353" s="56"/>
      <c r="H353" s="1"/>
    </row>
    <row r="354" spans="1:8" ht="15.75" x14ac:dyDescent="0.25">
      <c r="A354" s="247"/>
      <c r="B354" s="422"/>
      <c r="C354" s="423"/>
      <c r="D354" s="425" t="s">
        <v>177</v>
      </c>
      <c r="E354" s="135">
        <v>21</v>
      </c>
      <c r="F354" s="137">
        <f>100-16</f>
        <v>84</v>
      </c>
      <c r="G354" s="56"/>
      <c r="H354" s="1"/>
    </row>
    <row r="355" spans="1:8" ht="15.75" x14ac:dyDescent="0.25">
      <c r="A355" s="247"/>
      <c r="B355" s="422"/>
      <c r="C355" s="423"/>
      <c r="D355" s="425"/>
      <c r="E355" s="135">
        <v>23</v>
      </c>
      <c r="F355" s="137">
        <v>75</v>
      </c>
      <c r="G355" s="56"/>
      <c r="H355" s="1"/>
    </row>
    <row r="356" spans="1:8" ht="15.75" x14ac:dyDescent="0.25">
      <c r="A356" s="247"/>
      <c r="B356" s="422"/>
      <c r="C356" s="423"/>
      <c r="D356" s="425"/>
      <c r="E356" s="135">
        <v>24</v>
      </c>
      <c r="F356" s="137">
        <f>60+9</f>
        <v>69</v>
      </c>
      <c r="G356" s="56"/>
      <c r="H356" s="1"/>
    </row>
    <row r="357" spans="1:8" ht="15.75" customHeight="1" x14ac:dyDescent="0.25">
      <c r="A357" s="247"/>
      <c r="B357" s="422"/>
      <c r="C357" s="423"/>
      <c r="D357" s="232" t="s">
        <v>378</v>
      </c>
      <c r="E357" s="135">
        <v>28</v>
      </c>
      <c r="F357" s="137">
        <v>40</v>
      </c>
      <c r="G357" s="56"/>
      <c r="H357" s="1"/>
    </row>
    <row r="358" spans="1:8" ht="15.75" x14ac:dyDescent="0.25">
      <c r="A358" s="247"/>
      <c r="B358" s="422"/>
      <c r="C358" s="423"/>
      <c r="D358" s="425" t="s">
        <v>379</v>
      </c>
      <c r="E358" s="135">
        <v>31</v>
      </c>
      <c r="F358" s="137">
        <f>80-25</f>
        <v>55</v>
      </c>
      <c r="G358" s="56"/>
      <c r="H358" s="1"/>
    </row>
    <row r="359" spans="1:8" ht="15.75" x14ac:dyDescent="0.25">
      <c r="A359" s="247"/>
      <c r="B359" s="422"/>
      <c r="C359" s="423"/>
      <c r="D359" s="425"/>
      <c r="E359" s="135">
        <v>32</v>
      </c>
      <c r="F359" s="137">
        <v>15</v>
      </c>
      <c r="G359" s="56"/>
      <c r="H359" s="1"/>
    </row>
    <row r="360" spans="1:8" ht="15.75" x14ac:dyDescent="0.25">
      <c r="A360" s="247"/>
      <c r="B360" s="422"/>
      <c r="C360" s="423"/>
      <c r="D360" s="425"/>
      <c r="E360" s="135">
        <v>33</v>
      </c>
      <c r="F360" s="137">
        <v>10</v>
      </c>
      <c r="G360" s="56"/>
      <c r="H360" s="1"/>
    </row>
    <row r="361" spans="1:8" ht="15.75" x14ac:dyDescent="0.25">
      <c r="A361" s="247"/>
      <c r="B361" s="422"/>
      <c r="C361" s="423"/>
      <c r="D361" s="425"/>
      <c r="E361" s="135">
        <v>34</v>
      </c>
      <c r="F361" s="137">
        <f>200-79</f>
        <v>121</v>
      </c>
      <c r="G361" s="56"/>
      <c r="H361" s="1"/>
    </row>
    <row r="362" spans="1:8" ht="15.75" customHeight="1" x14ac:dyDescent="0.25">
      <c r="A362" s="247"/>
      <c r="B362" s="422"/>
      <c r="C362" s="423"/>
      <c r="D362" s="425" t="s">
        <v>380</v>
      </c>
      <c r="E362" s="135">
        <v>44</v>
      </c>
      <c r="F362" s="137">
        <f>400-8</f>
        <v>392</v>
      </c>
      <c r="G362" s="56"/>
      <c r="H362" s="1"/>
    </row>
    <row r="363" spans="1:8" ht="15.75" x14ac:dyDescent="0.25">
      <c r="A363" s="247"/>
      <c r="B363" s="422"/>
      <c r="C363" s="423"/>
      <c r="D363" s="425"/>
      <c r="E363" s="135">
        <v>45</v>
      </c>
      <c r="F363" s="137">
        <f>100-3</f>
        <v>97</v>
      </c>
      <c r="G363" s="56"/>
      <c r="H363" s="1"/>
    </row>
    <row r="364" spans="1:8" ht="15.75" x14ac:dyDescent="0.25">
      <c r="A364" s="247"/>
      <c r="B364" s="422"/>
      <c r="C364" s="423"/>
      <c r="D364" s="425"/>
      <c r="E364" s="135">
        <v>46</v>
      </c>
      <c r="F364" s="137">
        <f>30-2</f>
        <v>28</v>
      </c>
      <c r="G364" s="56"/>
      <c r="H364" s="1"/>
    </row>
    <row r="365" spans="1:8" ht="15.75" x14ac:dyDescent="0.25">
      <c r="A365" s="247"/>
      <c r="B365" s="422"/>
      <c r="C365" s="423"/>
      <c r="D365" s="425"/>
      <c r="E365" s="135">
        <v>47</v>
      </c>
      <c r="F365" s="137">
        <f>250-10</f>
        <v>240</v>
      </c>
      <c r="G365" s="56"/>
      <c r="H365" s="1"/>
    </row>
    <row r="366" spans="1:8" ht="15.75" x14ac:dyDescent="0.25">
      <c r="A366" s="247"/>
      <c r="B366" s="422"/>
      <c r="C366" s="423"/>
      <c r="D366" s="425"/>
      <c r="E366" s="135">
        <v>48</v>
      </c>
      <c r="F366" s="137">
        <f>80-3</f>
        <v>77</v>
      </c>
      <c r="G366" s="56"/>
      <c r="H366" s="1"/>
    </row>
    <row r="367" spans="1:8" ht="15.75" x14ac:dyDescent="0.25">
      <c r="A367" s="247"/>
      <c r="B367" s="422"/>
      <c r="C367" s="423"/>
      <c r="D367" s="425"/>
      <c r="E367" s="135">
        <v>49</v>
      </c>
      <c r="F367" s="137">
        <f>30-2</f>
        <v>28</v>
      </c>
      <c r="G367" s="56"/>
      <c r="H367" s="1"/>
    </row>
    <row r="368" spans="1:8" ht="15.75" x14ac:dyDescent="0.25">
      <c r="A368" s="247"/>
      <c r="B368" s="422"/>
      <c r="C368" s="423"/>
      <c r="D368" s="425"/>
      <c r="E368" s="135">
        <v>50</v>
      </c>
      <c r="F368" s="137">
        <v>20</v>
      </c>
      <c r="G368" s="56"/>
      <c r="H368" s="1"/>
    </row>
    <row r="369" spans="1:8" ht="15.75" x14ac:dyDescent="0.25">
      <c r="A369" s="247"/>
      <c r="B369" s="422"/>
      <c r="C369" s="423"/>
      <c r="D369" s="425"/>
      <c r="E369" s="135">
        <v>51</v>
      </c>
      <c r="F369" s="137">
        <v>5</v>
      </c>
      <c r="G369" s="56"/>
      <c r="H369" s="1"/>
    </row>
    <row r="370" spans="1:8" ht="15.75" x14ac:dyDescent="0.25">
      <c r="A370" s="247"/>
      <c r="B370" s="422"/>
      <c r="C370" s="423"/>
      <c r="D370" s="425"/>
      <c r="E370" s="135">
        <v>52</v>
      </c>
      <c r="F370" s="137">
        <v>5</v>
      </c>
      <c r="G370" s="56"/>
      <c r="H370" s="1"/>
    </row>
    <row r="371" spans="1:8" ht="15.75" x14ac:dyDescent="0.25">
      <c r="A371" s="247"/>
      <c r="B371" s="422"/>
      <c r="C371" s="423"/>
      <c r="D371" s="425"/>
      <c r="E371" s="135">
        <v>53</v>
      </c>
      <c r="F371" s="137">
        <v>15</v>
      </c>
      <c r="G371" s="56"/>
      <c r="H371" s="1"/>
    </row>
    <row r="372" spans="1:8" ht="15.75" x14ac:dyDescent="0.25">
      <c r="A372" s="247"/>
      <c r="B372" s="422"/>
      <c r="C372" s="423"/>
      <c r="D372" s="425"/>
      <c r="E372" s="135">
        <v>55</v>
      </c>
      <c r="F372" s="137">
        <f>35-16</f>
        <v>19</v>
      </c>
      <c r="G372" s="56"/>
      <c r="H372" s="1"/>
    </row>
    <row r="373" spans="1:8" ht="15.75" x14ac:dyDescent="0.25">
      <c r="A373" s="247"/>
      <c r="B373" s="422"/>
      <c r="C373" s="423"/>
      <c r="D373" s="425"/>
      <c r="E373" s="135">
        <v>56</v>
      </c>
      <c r="F373" s="137">
        <f>220+10</f>
        <v>230</v>
      </c>
      <c r="G373" s="56"/>
      <c r="H373" s="1"/>
    </row>
    <row r="374" spans="1:8" ht="15.75" x14ac:dyDescent="0.25">
      <c r="A374" s="247"/>
      <c r="B374" s="422"/>
      <c r="C374" s="423"/>
      <c r="D374" s="425"/>
      <c r="E374" s="135">
        <v>62</v>
      </c>
      <c r="F374" s="137">
        <f>20+6</f>
        <v>26</v>
      </c>
      <c r="G374" s="56"/>
      <c r="H374" s="1"/>
    </row>
    <row r="375" spans="1:8" ht="15.75" x14ac:dyDescent="0.25">
      <c r="A375" s="247"/>
      <c r="B375" s="422"/>
      <c r="C375" s="423"/>
      <c r="D375" s="425"/>
      <c r="E375" s="135">
        <v>65</v>
      </c>
      <c r="F375" s="137">
        <f>25-16</f>
        <v>9</v>
      </c>
      <c r="G375" s="56"/>
      <c r="H375" s="1"/>
    </row>
    <row r="376" spans="1:8" ht="15.75" customHeight="1" x14ac:dyDescent="0.25">
      <c r="A376" s="247"/>
      <c r="B376" s="422"/>
      <c r="C376" s="423"/>
      <c r="D376" s="425" t="s">
        <v>381</v>
      </c>
      <c r="E376" s="135">
        <v>68</v>
      </c>
      <c r="F376" s="137">
        <f>30+10</f>
        <v>40</v>
      </c>
      <c r="G376" s="56"/>
      <c r="H376" s="1"/>
    </row>
    <row r="377" spans="1:8" ht="15.75" x14ac:dyDescent="0.25">
      <c r="A377" s="247"/>
      <c r="B377" s="422"/>
      <c r="C377" s="423"/>
      <c r="D377" s="425"/>
      <c r="E377" s="135">
        <v>69</v>
      </c>
      <c r="F377" s="137">
        <f>20+10</f>
        <v>30</v>
      </c>
      <c r="G377" s="56"/>
      <c r="H377" s="1"/>
    </row>
    <row r="378" spans="1:8" ht="15.75" customHeight="1" x14ac:dyDescent="0.25">
      <c r="A378" s="247"/>
      <c r="B378" s="422"/>
      <c r="C378" s="423"/>
      <c r="D378" s="425" t="s">
        <v>382</v>
      </c>
      <c r="E378" s="135">
        <v>70</v>
      </c>
      <c r="F378" s="137">
        <v>200</v>
      </c>
      <c r="G378" s="56"/>
      <c r="H378" s="1"/>
    </row>
    <row r="379" spans="1:8" ht="15.75" x14ac:dyDescent="0.25">
      <c r="A379" s="247"/>
      <c r="B379" s="422"/>
      <c r="C379" s="423"/>
      <c r="D379" s="425"/>
      <c r="E379" s="135">
        <v>72</v>
      </c>
      <c r="F379" s="137">
        <v>150</v>
      </c>
      <c r="G379" s="56"/>
      <c r="H379" s="1"/>
    </row>
    <row r="380" spans="1:8" ht="15.75" x14ac:dyDescent="0.25">
      <c r="A380" s="247"/>
      <c r="B380" s="422"/>
      <c r="C380" s="423"/>
      <c r="D380" s="425"/>
      <c r="E380" s="135">
        <v>73</v>
      </c>
      <c r="F380" s="137">
        <f>150+32</f>
        <v>182</v>
      </c>
      <c r="G380" s="56"/>
      <c r="H380" s="1"/>
    </row>
    <row r="381" spans="1:8" ht="15.75" x14ac:dyDescent="0.25">
      <c r="A381" s="247"/>
      <c r="B381" s="422"/>
      <c r="C381" s="423"/>
      <c r="D381" s="425"/>
      <c r="E381" s="135">
        <v>76</v>
      </c>
      <c r="F381" s="137">
        <v>10</v>
      </c>
      <c r="G381" s="56"/>
      <c r="H381" s="1"/>
    </row>
    <row r="382" spans="1:8" ht="15.75" x14ac:dyDescent="0.25">
      <c r="A382" s="247"/>
      <c r="B382" s="422"/>
      <c r="C382" s="423"/>
      <c r="D382" s="425"/>
      <c r="E382" s="135">
        <v>77</v>
      </c>
      <c r="F382" s="137">
        <f>350-50</f>
        <v>300</v>
      </c>
      <c r="G382" s="56"/>
      <c r="H382" s="1"/>
    </row>
    <row r="383" spans="1:8" ht="15.75" x14ac:dyDescent="0.25">
      <c r="A383" s="247"/>
      <c r="B383" s="422"/>
      <c r="C383" s="423"/>
      <c r="D383" s="425"/>
      <c r="E383" s="135">
        <v>78</v>
      </c>
      <c r="F383" s="137">
        <v>50</v>
      </c>
      <c r="G383" s="56"/>
      <c r="H383" s="1"/>
    </row>
    <row r="384" spans="1:8" ht="15.75" x14ac:dyDescent="0.25">
      <c r="A384" s="247"/>
      <c r="B384" s="422"/>
      <c r="C384" s="423"/>
      <c r="D384" s="425" t="s">
        <v>383</v>
      </c>
      <c r="E384" s="135">
        <v>79</v>
      </c>
      <c r="F384" s="137">
        <v>13</v>
      </c>
      <c r="G384" s="56"/>
      <c r="H384" s="1"/>
    </row>
    <row r="385" spans="1:8" ht="15.75" x14ac:dyDescent="0.25">
      <c r="A385" s="247"/>
      <c r="B385" s="422"/>
      <c r="C385" s="423"/>
      <c r="D385" s="425"/>
      <c r="E385" s="135">
        <v>81</v>
      </c>
      <c r="F385" s="137">
        <f>40-27</f>
        <v>13</v>
      </c>
      <c r="G385" s="56"/>
      <c r="H385" s="1"/>
    </row>
    <row r="386" spans="1:8" ht="15.75" x14ac:dyDescent="0.25">
      <c r="A386" s="247"/>
      <c r="B386" s="422"/>
      <c r="C386" s="423"/>
      <c r="D386" s="426" t="s">
        <v>384</v>
      </c>
      <c r="E386" s="136">
        <v>82</v>
      </c>
      <c r="F386" s="137">
        <v>65</v>
      </c>
      <c r="G386" s="56"/>
      <c r="H386" s="1"/>
    </row>
    <row r="387" spans="1:8" ht="15.75" x14ac:dyDescent="0.25">
      <c r="A387" s="247"/>
      <c r="B387" s="422"/>
      <c r="C387" s="423"/>
      <c r="D387" s="426"/>
      <c r="E387" s="136">
        <v>84</v>
      </c>
      <c r="F387" s="137">
        <v>20</v>
      </c>
      <c r="G387" s="56"/>
      <c r="H387" s="1"/>
    </row>
    <row r="388" spans="1:8" ht="15.75" customHeight="1" x14ac:dyDescent="0.25">
      <c r="A388" s="247"/>
      <c r="B388" s="422"/>
      <c r="C388" s="423"/>
      <c r="D388" s="234" t="s">
        <v>385</v>
      </c>
      <c r="E388" s="136">
        <v>86</v>
      </c>
      <c r="F388" s="137">
        <f>20+3</f>
        <v>23</v>
      </c>
      <c r="G388" s="56"/>
      <c r="H388" s="1"/>
    </row>
    <row r="389" spans="1:8" ht="15.75" x14ac:dyDescent="0.25">
      <c r="A389" s="247"/>
      <c r="B389" s="422"/>
      <c r="C389" s="423"/>
      <c r="D389" s="234" t="s">
        <v>386</v>
      </c>
      <c r="E389" s="136">
        <v>87</v>
      </c>
      <c r="F389" s="137">
        <v>20</v>
      </c>
      <c r="G389" s="56"/>
      <c r="H389" s="1"/>
    </row>
    <row r="390" spans="1:8" ht="15.75" x14ac:dyDescent="0.25">
      <c r="A390" s="247"/>
      <c r="B390" s="217">
        <v>144</v>
      </c>
      <c r="C390" s="198" t="s">
        <v>466</v>
      </c>
      <c r="D390" s="199"/>
      <c r="E390" s="200"/>
      <c r="F390" s="201">
        <f>SUM(F345:F389)</f>
        <v>3269</v>
      </c>
      <c r="G390" s="56"/>
      <c r="H390" s="1"/>
    </row>
    <row r="391" spans="1:8" ht="15.75" customHeight="1" x14ac:dyDescent="0.25">
      <c r="A391" s="247"/>
      <c r="B391" s="422"/>
      <c r="C391" s="423" t="s">
        <v>368</v>
      </c>
      <c r="D391" s="426" t="s">
        <v>382</v>
      </c>
      <c r="E391" s="136">
        <v>70</v>
      </c>
      <c r="F391" s="137">
        <f>15+5+5</f>
        <v>25</v>
      </c>
      <c r="G391" s="56"/>
      <c r="H391" s="1"/>
    </row>
    <row r="392" spans="1:8" ht="15.75" customHeight="1" x14ac:dyDescent="0.25">
      <c r="A392" s="247"/>
      <c r="B392" s="422"/>
      <c r="C392" s="423"/>
      <c r="D392" s="426"/>
      <c r="E392" s="136">
        <v>72</v>
      </c>
      <c r="F392" s="137">
        <f>40-10</f>
        <v>30</v>
      </c>
      <c r="G392" s="56"/>
      <c r="H392" s="1"/>
    </row>
    <row r="393" spans="1:8" ht="15.75" x14ac:dyDescent="0.25">
      <c r="A393" s="247"/>
      <c r="B393" s="422"/>
      <c r="C393" s="423"/>
      <c r="D393" s="426"/>
      <c r="E393" s="136">
        <v>73</v>
      </c>
      <c r="F393" s="137">
        <f>25+5+5</f>
        <v>35</v>
      </c>
      <c r="G393" s="56"/>
      <c r="H393" s="1"/>
    </row>
    <row r="394" spans="1:8" ht="15" customHeight="1" x14ac:dyDescent="0.25">
      <c r="A394" s="247"/>
      <c r="B394" s="422"/>
      <c r="C394" s="423"/>
      <c r="D394" s="426"/>
      <c r="E394" s="136">
        <v>78</v>
      </c>
      <c r="F394" s="137">
        <f>50-10</f>
        <v>40</v>
      </c>
      <c r="G394" s="56"/>
      <c r="H394" s="1"/>
    </row>
    <row r="395" spans="1:8" ht="15.75" x14ac:dyDescent="0.25">
      <c r="A395" s="247"/>
      <c r="B395" s="217">
        <v>49</v>
      </c>
      <c r="C395" s="198" t="s">
        <v>466</v>
      </c>
      <c r="D395" s="199"/>
      <c r="E395" s="200"/>
      <c r="F395" s="201">
        <f>SUM(F391:F394)</f>
        <v>130</v>
      </c>
      <c r="G395" s="56"/>
      <c r="H395" s="1"/>
    </row>
    <row r="396" spans="1:8" ht="15.75" customHeight="1" x14ac:dyDescent="0.25">
      <c r="A396" s="247"/>
      <c r="B396" s="427"/>
      <c r="C396" s="430" t="s">
        <v>220</v>
      </c>
      <c r="D396" s="433" t="s">
        <v>382</v>
      </c>
      <c r="E396" s="136">
        <v>70</v>
      </c>
      <c r="F396" s="138">
        <f>200-60+56</f>
        <v>196</v>
      </c>
      <c r="G396" s="56"/>
      <c r="H396" s="1"/>
    </row>
    <row r="397" spans="1:8" ht="15.75" customHeight="1" x14ac:dyDescent="0.25">
      <c r="A397" s="247"/>
      <c r="B397" s="428"/>
      <c r="C397" s="431"/>
      <c r="D397" s="434"/>
      <c r="E397" s="136">
        <v>71</v>
      </c>
      <c r="F397" s="138">
        <f>10-5+56</f>
        <v>61</v>
      </c>
      <c r="G397" s="56"/>
      <c r="H397" s="1"/>
    </row>
    <row r="398" spans="1:8" ht="15" customHeight="1" x14ac:dyDescent="0.25">
      <c r="A398" s="247"/>
      <c r="B398" s="428"/>
      <c r="C398" s="431"/>
      <c r="D398" s="434"/>
      <c r="E398" s="136">
        <v>72</v>
      </c>
      <c r="F398" s="138">
        <f>30-10+6</f>
        <v>26</v>
      </c>
      <c r="G398" s="56"/>
      <c r="H398" s="1"/>
    </row>
    <row r="399" spans="1:8" ht="15.75" x14ac:dyDescent="0.25">
      <c r="A399" s="247"/>
      <c r="B399" s="428"/>
      <c r="C399" s="431"/>
      <c r="D399" s="434"/>
      <c r="E399" s="136">
        <v>73</v>
      </c>
      <c r="F399" s="138">
        <f>70+30+8</f>
        <v>108</v>
      </c>
      <c r="G399" s="56"/>
      <c r="H399" s="1"/>
    </row>
    <row r="400" spans="1:8" ht="15.75" x14ac:dyDescent="0.25">
      <c r="A400" s="247"/>
      <c r="B400" s="428"/>
      <c r="C400" s="431"/>
      <c r="D400" s="434"/>
      <c r="E400" s="136">
        <v>75</v>
      </c>
      <c r="F400" s="138">
        <f>15+68</f>
        <v>83</v>
      </c>
      <c r="G400" s="56"/>
      <c r="H400" s="1"/>
    </row>
    <row r="401" spans="1:8" ht="15.75" x14ac:dyDescent="0.25">
      <c r="A401" s="247"/>
      <c r="B401" s="428"/>
      <c r="C401" s="431"/>
      <c r="D401" s="434"/>
      <c r="E401" s="136">
        <v>77</v>
      </c>
      <c r="F401" s="138">
        <f>10-10</f>
        <v>0</v>
      </c>
      <c r="G401" s="56"/>
      <c r="H401" s="1"/>
    </row>
    <row r="402" spans="1:8" ht="15.75" x14ac:dyDescent="0.25">
      <c r="A402" s="247"/>
      <c r="B402" s="429"/>
      <c r="C402" s="432"/>
      <c r="D402" s="435"/>
      <c r="E402" s="136">
        <v>78</v>
      </c>
      <c r="F402" s="138">
        <f>20+10</f>
        <v>30</v>
      </c>
      <c r="G402" s="56"/>
      <c r="H402" s="1"/>
    </row>
    <row r="403" spans="1:8" ht="15.75" x14ac:dyDescent="0.25">
      <c r="A403" s="247"/>
      <c r="B403" s="217">
        <v>28</v>
      </c>
      <c r="C403" s="198" t="s">
        <v>466</v>
      </c>
      <c r="D403" s="199"/>
      <c r="E403" s="200"/>
      <c r="F403" s="201">
        <f>SUM(F396:F402)</f>
        <v>504</v>
      </c>
      <c r="G403" s="56"/>
      <c r="H403" s="1"/>
    </row>
    <row r="404" spans="1:8" ht="15.75" customHeight="1" x14ac:dyDescent="0.25">
      <c r="A404" s="247"/>
      <c r="B404" s="422"/>
      <c r="C404" s="423" t="s">
        <v>369</v>
      </c>
      <c r="D404" s="426" t="s">
        <v>382</v>
      </c>
      <c r="E404" s="136">
        <v>70</v>
      </c>
      <c r="F404" s="137">
        <f>43+9+2</f>
        <v>54</v>
      </c>
      <c r="G404" s="56"/>
      <c r="H404" s="1"/>
    </row>
    <row r="405" spans="1:8" ht="15.75" x14ac:dyDescent="0.25">
      <c r="A405" s="247"/>
      <c r="B405" s="422"/>
      <c r="C405" s="423"/>
      <c r="D405" s="426"/>
      <c r="E405" s="136">
        <v>72</v>
      </c>
      <c r="F405" s="137">
        <f>8-1</f>
        <v>7</v>
      </c>
      <c r="G405" s="56"/>
      <c r="H405" s="1"/>
    </row>
    <row r="406" spans="1:8" ht="15.75" x14ac:dyDescent="0.25">
      <c r="A406" s="247"/>
      <c r="B406" s="422"/>
      <c r="C406" s="423"/>
      <c r="D406" s="426"/>
      <c r="E406" s="136">
        <v>76</v>
      </c>
      <c r="F406" s="137">
        <f>2-1</f>
        <v>1</v>
      </c>
      <c r="G406" s="56"/>
      <c r="H406" s="1"/>
    </row>
    <row r="407" spans="1:8" ht="15" customHeight="1" x14ac:dyDescent="0.25">
      <c r="A407" s="247"/>
      <c r="B407" s="422"/>
      <c r="C407" s="423"/>
      <c r="D407" s="426"/>
      <c r="E407" s="136">
        <v>77</v>
      </c>
      <c r="F407" s="137">
        <f>7-3</f>
        <v>4</v>
      </c>
      <c r="G407" s="56"/>
      <c r="H407" s="1"/>
    </row>
    <row r="408" spans="1:8" ht="15.75" x14ac:dyDescent="0.25">
      <c r="A408" s="247"/>
      <c r="B408" s="422"/>
      <c r="C408" s="423"/>
      <c r="D408" s="426"/>
      <c r="E408" s="136">
        <v>78</v>
      </c>
      <c r="F408" s="137">
        <f>2-1</f>
        <v>1</v>
      </c>
      <c r="G408" s="56"/>
      <c r="H408" s="1"/>
    </row>
    <row r="409" spans="1:8" ht="19.5" customHeight="1" x14ac:dyDescent="0.25">
      <c r="A409" s="247"/>
      <c r="B409" s="422"/>
      <c r="C409" s="423"/>
      <c r="D409" s="234" t="s">
        <v>385</v>
      </c>
      <c r="E409" s="136">
        <v>86</v>
      </c>
      <c r="F409" s="137">
        <f>15-4</f>
        <v>11</v>
      </c>
      <c r="G409" s="56"/>
      <c r="H409" s="1"/>
    </row>
    <row r="410" spans="1:8" ht="15.75" x14ac:dyDescent="0.25">
      <c r="A410" s="247"/>
      <c r="B410" s="217">
        <v>204</v>
      </c>
      <c r="C410" s="198" t="s">
        <v>466</v>
      </c>
      <c r="D410" s="199"/>
      <c r="E410" s="200"/>
      <c r="F410" s="201">
        <f>SUM(F404:F409)</f>
        <v>78</v>
      </c>
      <c r="G410" s="56"/>
      <c r="H410" s="1"/>
    </row>
    <row r="411" spans="1:8" ht="15" customHeight="1" x14ac:dyDescent="0.25">
      <c r="A411" s="247"/>
      <c r="B411" s="422"/>
      <c r="C411" s="423" t="s">
        <v>221</v>
      </c>
      <c r="D411" s="436" t="s">
        <v>177</v>
      </c>
      <c r="E411" s="136">
        <v>21</v>
      </c>
      <c r="F411" s="138">
        <v>550</v>
      </c>
      <c r="G411" s="56"/>
      <c r="H411" s="1"/>
    </row>
    <row r="412" spans="1:8" ht="15.75" customHeight="1" x14ac:dyDescent="0.25">
      <c r="A412" s="247"/>
      <c r="B412" s="422"/>
      <c r="C412" s="423"/>
      <c r="D412" s="436"/>
      <c r="E412" s="136">
        <v>25</v>
      </c>
      <c r="F412" s="138">
        <v>10</v>
      </c>
      <c r="G412" s="56"/>
      <c r="H412" s="1"/>
    </row>
    <row r="413" spans="1:8" ht="15.75" x14ac:dyDescent="0.25">
      <c r="A413" s="247"/>
      <c r="B413" s="422"/>
      <c r="C413" s="423"/>
      <c r="D413" s="436"/>
      <c r="E413" s="136">
        <v>26</v>
      </c>
      <c r="F413" s="138">
        <v>30</v>
      </c>
      <c r="G413" s="56"/>
      <c r="H413" s="1"/>
    </row>
    <row r="414" spans="1:8" ht="15.75" x14ac:dyDescent="0.25">
      <c r="A414" s="247"/>
      <c r="B414" s="422"/>
      <c r="C414" s="423"/>
      <c r="D414" s="436"/>
      <c r="E414" s="136">
        <v>27</v>
      </c>
      <c r="F414" s="138">
        <v>20</v>
      </c>
      <c r="G414" s="56"/>
      <c r="H414" s="1"/>
    </row>
    <row r="415" spans="1:8" ht="15.75" x14ac:dyDescent="0.25">
      <c r="A415" s="247"/>
      <c r="B415" s="217">
        <v>188</v>
      </c>
      <c r="C415" s="198" t="s">
        <v>466</v>
      </c>
      <c r="D415" s="199"/>
      <c r="E415" s="200"/>
      <c r="F415" s="201">
        <f t="shared" ref="F415" si="113">SUM(F411:F414)</f>
        <v>610</v>
      </c>
      <c r="G415" s="56"/>
      <c r="H415" s="1"/>
    </row>
    <row r="416" spans="1:8" ht="19.5" customHeight="1" x14ac:dyDescent="0.25">
      <c r="A416" s="247"/>
      <c r="B416" s="422"/>
      <c r="C416" s="423" t="s">
        <v>370</v>
      </c>
      <c r="D416" s="234" t="s">
        <v>375</v>
      </c>
      <c r="E416" s="136">
        <v>1</v>
      </c>
      <c r="F416" s="138">
        <f>10-10</f>
        <v>0</v>
      </c>
      <c r="G416" s="56"/>
      <c r="H416" s="1"/>
    </row>
    <row r="417" spans="1:8" ht="30.75" customHeight="1" x14ac:dyDescent="0.25">
      <c r="A417" s="247"/>
      <c r="B417" s="422"/>
      <c r="C417" s="423"/>
      <c r="D417" s="229" t="s">
        <v>387</v>
      </c>
      <c r="E417" s="136">
        <v>20</v>
      </c>
      <c r="F417" s="138">
        <v>5</v>
      </c>
      <c r="G417" s="56"/>
      <c r="H417" s="1"/>
    </row>
    <row r="418" spans="1:8" ht="15.75" x14ac:dyDescent="0.25">
      <c r="A418" s="247"/>
      <c r="B418" s="217">
        <v>292</v>
      </c>
      <c r="C418" s="198" t="s">
        <v>466</v>
      </c>
      <c r="D418" s="199"/>
      <c r="E418" s="200"/>
      <c r="F418" s="201">
        <f t="shared" ref="F418" si="114">SUM(F416:F417)</f>
        <v>5</v>
      </c>
      <c r="G418" s="56"/>
      <c r="H418" s="1"/>
    </row>
    <row r="419" spans="1:8" ht="15" customHeight="1" x14ac:dyDescent="0.25">
      <c r="A419" s="247"/>
      <c r="B419" s="437"/>
      <c r="C419" s="423" t="s">
        <v>371</v>
      </c>
      <c r="D419" s="438" t="s">
        <v>379</v>
      </c>
      <c r="E419" s="136">
        <v>31</v>
      </c>
      <c r="F419" s="138">
        <f>58+25</f>
        <v>83</v>
      </c>
      <c r="G419" s="56"/>
      <c r="H419" s="1"/>
    </row>
    <row r="420" spans="1:8" ht="15.75" customHeight="1" x14ac:dyDescent="0.25">
      <c r="A420" s="247"/>
      <c r="B420" s="437"/>
      <c r="C420" s="423"/>
      <c r="D420" s="438"/>
      <c r="E420" s="136">
        <v>32</v>
      </c>
      <c r="F420" s="138">
        <v>2</v>
      </c>
      <c r="G420" s="56"/>
      <c r="H420" s="1"/>
    </row>
    <row r="421" spans="1:8" ht="15.75" x14ac:dyDescent="0.25">
      <c r="A421" s="247"/>
      <c r="B421" s="437"/>
      <c r="C421" s="423"/>
      <c r="D421" s="438"/>
      <c r="E421" s="135">
        <v>34</v>
      </c>
      <c r="F421" s="138">
        <v>20</v>
      </c>
      <c r="G421" s="56"/>
      <c r="H421" s="1"/>
    </row>
    <row r="422" spans="1:8" ht="15.75" x14ac:dyDescent="0.25">
      <c r="A422" s="247"/>
      <c r="B422" s="217">
        <v>355</v>
      </c>
      <c r="C422" s="198" t="s">
        <v>466</v>
      </c>
      <c r="D422" s="199"/>
      <c r="E422" s="200"/>
      <c r="F422" s="202">
        <f t="shared" ref="F422" si="115">SUM(F419:F421)</f>
        <v>105</v>
      </c>
      <c r="G422" s="56"/>
      <c r="H422" s="1"/>
    </row>
    <row r="423" spans="1:8" ht="15" customHeight="1" x14ac:dyDescent="0.25">
      <c r="A423" s="247"/>
      <c r="B423" s="427"/>
      <c r="C423" s="430" t="s">
        <v>372</v>
      </c>
      <c r="D423" s="234" t="s">
        <v>378</v>
      </c>
      <c r="E423" s="136">
        <f>30</f>
        <v>30</v>
      </c>
      <c r="F423" s="138">
        <f>65+30</f>
        <v>95</v>
      </c>
      <c r="G423" s="56"/>
      <c r="H423" s="1"/>
    </row>
    <row r="424" spans="1:8" ht="15.75" customHeight="1" x14ac:dyDescent="0.25">
      <c r="A424" s="247"/>
      <c r="B424" s="428"/>
      <c r="C424" s="431"/>
      <c r="D424" s="438" t="s">
        <v>383</v>
      </c>
      <c r="E424" s="136">
        <v>79</v>
      </c>
      <c r="F424" s="138">
        <f>29-5</f>
        <v>24</v>
      </c>
      <c r="G424" s="56"/>
      <c r="H424" s="1"/>
    </row>
    <row r="425" spans="1:8" ht="15.75" x14ac:dyDescent="0.25">
      <c r="A425" s="247"/>
      <c r="B425" s="428"/>
      <c r="C425" s="431"/>
      <c r="D425" s="438"/>
      <c r="E425" s="136">
        <v>80</v>
      </c>
      <c r="F425" s="138">
        <f>5+5</f>
        <v>10</v>
      </c>
      <c r="G425" s="56"/>
      <c r="H425" s="1"/>
    </row>
    <row r="426" spans="1:8" ht="15.75" x14ac:dyDescent="0.25">
      <c r="A426" s="247"/>
      <c r="B426" s="428"/>
      <c r="C426" s="431"/>
      <c r="D426" s="413" t="s">
        <v>384</v>
      </c>
      <c r="E426" s="136">
        <v>82</v>
      </c>
      <c r="F426" s="138">
        <f>40-12</f>
        <v>28</v>
      </c>
      <c r="G426" s="56"/>
      <c r="H426" s="1"/>
    </row>
    <row r="427" spans="1:8" ht="15.75" x14ac:dyDescent="0.25">
      <c r="A427" s="247"/>
      <c r="B427" s="428"/>
      <c r="C427" s="431"/>
      <c r="D427" s="414"/>
      <c r="E427" s="136">
        <v>83</v>
      </c>
      <c r="F427" s="138">
        <v>2</v>
      </c>
      <c r="G427" s="56"/>
      <c r="H427" s="1"/>
    </row>
    <row r="428" spans="1:8" ht="15.75" x14ac:dyDescent="0.25">
      <c r="A428" s="247"/>
      <c r="B428" s="429"/>
      <c r="C428" s="432"/>
      <c r="D428" s="415"/>
      <c r="E428" s="136">
        <v>84</v>
      </c>
      <c r="F428" s="138">
        <v>10</v>
      </c>
      <c r="G428" s="56"/>
      <c r="H428" s="1"/>
    </row>
    <row r="429" spans="1:8" ht="15" customHeight="1" x14ac:dyDescent="0.25">
      <c r="A429" s="247"/>
      <c r="B429" s="217">
        <v>33</v>
      </c>
      <c r="C429" s="198" t="s">
        <v>466</v>
      </c>
      <c r="D429" s="199"/>
      <c r="E429" s="200"/>
      <c r="F429" s="201">
        <f>SUM(F423:F428)</f>
        <v>169</v>
      </c>
      <c r="G429" s="56"/>
      <c r="H429" s="1"/>
    </row>
    <row r="430" spans="1:8" ht="15.75" customHeight="1" x14ac:dyDescent="0.25">
      <c r="A430" s="247"/>
      <c r="B430" s="445"/>
      <c r="C430" s="446" t="s">
        <v>373</v>
      </c>
      <c r="D430" s="436" t="s">
        <v>388</v>
      </c>
      <c r="E430" s="135">
        <v>35</v>
      </c>
      <c r="F430" s="137">
        <v>5</v>
      </c>
      <c r="G430" s="56"/>
      <c r="H430" s="1"/>
    </row>
    <row r="431" spans="1:8" ht="15.75" customHeight="1" x14ac:dyDescent="0.25">
      <c r="A431" s="247"/>
      <c r="B431" s="445"/>
      <c r="C431" s="446"/>
      <c r="D431" s="436"/>
      <c r="E431" s="135">
        <v>40</v>
      </c>
      <c r="F431" s="137">
        <v>80</v>
      </c>
      <c r="G431" s="56"/>
      <c r="H431" s="1"/>
    </row>
    <row r="432" spans="1:8" ht="15.75" x14ac:dyDescent="0.25">
      <c r="A432" s="247"/>
      <c r="B432" s="445"/>
      <c r="C432" s="446"/>
      <c r="D432" s="436"/>
      <c r="E432" s="135">
        <v>42</v>
      </c>
      <c r="F432" s="137">
        <v>100</v>
      </c>
      <c r="G432" s="56"/>
      <c r="H432" s="1"/>
    </row>
    <row r="433" spans="1:8" ht="15.75" x14ac:dyDescent="0.25">
      <c r="A433" s="247"/>
      <c r="B433" s="445"/>
      <c r="C433" s="446"/>
      <c r="D433" s="231" t="s">
        <v>386</v>
      </c>
      <c r="E433" s="135">
        <v>87</v>
      </c>
      <c r="F433" s="137">
        <v>20</v>
      </c>
      <c r="G433" s="56"/>
      <c r="H433" s="1"/>
    </row>
    <row r="434" spans="1:8" ht="15" customHeight="1" x14ac:dyDescent="0.25">
      <c r="A434" s="247"/>
      <c r="B434" s="217">
        <v>133</v>
      </c>
      <c r="C434" s="198" t="s">
        <v>466</v>
      </c>
      <c r="D434" s="199"/>
      <c r="E434" s="200"/>
      <c r="F434" s="201">
        <f t="shared" ref="F434" si="116">SUM(F430:F433)</f>
        <v>205</v>
      </c>
      <c r="G434" s="56"/>
      <c r="H434" s="1"/>
    </row>
    <row r="435" spans="1:8" ht="24" customHeight="1" x14ac:dyDescent="0.25">
      <c r="A435" s="247"/>
      <c r="B435" s="447"/>
      <c r="C435" s="446" t="s">
        <v>374</v>
      </c>
      <c r="D435" s="438" t="s">
        <v>388</v>
      </c>
      <c r="E435" s="135">
        <v>35</v>
      </c>
      <c r="F435" s="137">
        <v>5</v>
      </c>
      <c r="G435" s="56"/>
      <c r="H435" s="1"/>
    </row>
    <row r="436" spans="1:8" ht="15.75" customHeight="1" x14ac:dyDescent="0.25">
      <c r="A436" s="247"/>
      <c r="B436" s="447"/>
      <c r="C436" s="446"/>
      <c r="D436" s="438"/>
      <c r="E436" s="135">
        <v>39</v>
      </c>
      <c r="F436" s="137">
        <f>30-20</f>
        <v>10</v>
      </c>
      <c r="G436" s="56"/>
      <c r="H436" s="1"/>
    </row>
    <row r="437" spans="1:8" ht="15.75" x14ac:dyDescent="0.25">
      <c r="A437" s="247"/>
      <c r="B437" s="447"/>
      <c r="C437" s="446"/>
      <c r="D437" s="438"/>
      <c r="E437" s="135">
        <v>41</v>
      </c>
      <c r="F437" s="137">
        <f>10+20+10</f>
        <v>40</v>
      </c>
      <c r="G437" s="56"/>
      <c r="H437" s="1"/>
    </row>
    <row r="438" spans="1:8" ht="15.75" x14ac:dyDescent="0.25">
      <c r="A438" s="247"/>
      <c r="B438" s="217">
        <v>146</v>
      </c>
      <c r="C438" s="198" t="s">
        <v>466</v>
      </c>
      <c r="D438" s="199"/>
      <c r="E438" s="200"/>
      <c r="F438" s="201">
        <f>SUM(F435:F437)</f>
        <v>55</v>
      </c>
      <c r="G438" s="56"/>
      <c r="H438" s="1"/>
    </row>
    <row r="439" spans="1:8" ht="15.75" customHeight="1" x14ac:dyDescent="0.25">
      <c r="A439" s="247"/>
      <c r="B439" s="448"/>
      <c r="C439" s="430" t="s">
        <v>495</v>
      </c>
      <c r="D439" s="438" t="s">
        <v>383</v>
      </c>
      <c r="E439" s="136">
        <v>79</v>
      </c>
      <c r="F439" s="139">
        <f>12+7</f>
        <v>19</v>
      </c>
      <c r="G439" s="56"/>
      <c r="H439" s="1"/>
    </row>
    <row r="440" spans="1:8" ht="15.75" customHeight="1" x14ac:dyDescent="0.25">
      <c r="A440" s="247"/>
      <c r="B440" s="449"/>
      <c r="C440" s="431"/>
      <c r="D440" s="438"/>
      <c r="E440" s="136">
        <v>80</v>
      </c>
      <c r="F440" s="139">
        <v>4</v>
      </c>
      <c r="G440" s="56"/>
      <c r="H440" s="1"/>
    </row>
    <row r="441" spans="1:8" ht="15.75" x14ac:dyDescent="0.25">
      <c r="B441" s="449"/>
      <c r="C441" s="431"/>
      <c r="D441" s="413" t="s">
        <v>384</v>
      </c>
      <c r="E441" s="136">
        <v>82</v>
      </c>
      <c r="F441" s="139">
        <f>7-7</f>
        <v>0</v>
      </c>
      <c r="G441" s="56"/>
      <c r="H441" s="1"/>
    </row>
    <row r="442" spans="1:8" ht="15.75" x14ac:dyDescent="0.25">
      <c r="B442" s="450"/>
      <c r="C442" s="432"/>
      <c r="D442" s="415"/>
      <c r="E442" s="136">
        <v>84</v>
      </c>
      <c r="F442" s="139">
        <f>7-7</f>
        <v>0</v>
      </c>
      <c r="G442" s="56"/>
      <c r="H442" s="1"/>
    </row>
    <row r="443" spans="1:8" ht="15.75" x14ac:dyDescent="0.25">
      <c r="B443" s="217">
        <v>140</v>
      </c>
      <c r="C443" s="198" t="s">
        <v>466</v>
      </c>
      <c r="D443" s="203"/>
      <c r="E443" s="200"/>
      <c r="F443" s="201">
        <f>SUM(F439:F442)</f>
        <v>23</v>
      </c>
      <c r="G443" s="56"/>
      <c r="H443" s="1"/>
    </row>
    <row r="444" spans="1:8" x14ac:dyDescent="0.25">
      <c r="B444" s="197"/>
      <c r="C444" s="204" t="s">
        <v>223</v>
      </c>
      <c r="D444" s="57"/>
      <c r="E444" s="58"/>
      <c r="F444" s="140">
        <f t="shared" ref="F444" si="117">F438+F434+F429+F422+F418+F415+F410+F403+F395+F390+F443</f>
        <v>5153</v>
      </c>
      <c r="G444" s="56"/>
      <c r="H444" s="1"/>
    </row>
    <row r="445" spans="1:8" x14ac:dyDescent="0.25">
      <c r="H445" s="1"/>
    </row>
    <row r="446" spans="1:8" x14ac:dyDescent="0.25">
      <c r="H446" s="1"/>
    </row>
    <row r="447" spans="1:8" ht="46.5" customHeight="1" x14ac:dyDescent="0.3">
      <c r="B447" s="439" t="s">
        <v>389</v>
      </c>
      <c r="C447" s="439"/>
      <c r="D447" s="439"/>
      <c r="E447" s="439"/>
      <c r="F447" s="439"/>
      <c r="G447" s="59"/>
      <c r="H447" s="59"/>
    </row>
    <row r="448" spans="1:8" ht="19.5" customHeight="1" x14ac:dyDescent="0.25"/>
    <row r="449" spans="1:8" ht="15" customHeight="1" x14ac:dyDescent="0.25">
      <c r="B449" s="440" t="s">
        <v>46</v>
      </c>
      <c r="C449" s="441" t="s">
        <v>113</v>
      </c>
      <c r="D449" s="442" t="s">
        <v>3</v>
      </c>
      <c r="E449" s="443"/>
      <c r="F449" s="444"/>
      <c r="G449" s="60"/>
      <c r="H449" s="60"/>
    </row>
    <row r="450" spans="1:8" ht="15.75" customHeight="1" x14ac:dyDescent="0.25">
      <c r="A450" s="252"/>
      <c r="B450" s="440"/>
      <c r="C450" s="441"/>
      <c r="D450" s="205">
        <v>188</v>
      </c>
      <c r="E450" s="205">
        <v>144</v>
      </c>
      <c r="F450" s="205">
        <v>465</v>
      </c>
      <c r="G450" s="61"/>
      <c r="H450" s="61"/>
    </row>
    <row r="451" spans="1:8" ht="72.75" customHeight="1" x14ac:dyDescent="0.25">
      <c r="A451" s="252"/>
      <c r="B451" s="440"/>
      <c r="C451" s="441"/>
      <c r="D451" s="141" t="s">
        <v>27</v>
      </c>
      <c r="E451" s="141" t="s">
        <v>24</v>
      </c>
      <c r="F451" s="141" t="s">
        <v>87</v>
      </c>
      <c r="G451" s="196"/>
      <c r="H451" s="94"/>
    </row>
    <row r="452" spans="1:8" ht="25.5" customHeight="1" x14ac:dyDescent="0.25">
      <c r="A452" s="252"/>
      <c r="B452" s="52"/>
      <c r="C452" s="62" t="s">
        <v>114</v>
      </c>
      <c r="D452" s="75">
        <f>F278+F279</f>
        <v>8264</v>
      </c>
      <c r="E452" s="75">
        <f>F243+F244</f>
        <v>1844</v>
      </c>
      <c r="F452" s="75">
        <f>F330</f>
        <v>760</v>
      </c>
      <c r="G452" s="63"/>
      <c r="H452" s="64"/>
    </row>
    <row r="453" spans="1:8" ht="71.25" x14ac:dyDescent="0.25">
      <c r="B453" s="52"/>
      <c r="C453" s="62" t="s">
        <v>115</v>
      </c>
      <c r="D453" s="140">
        <f>SUM(D454:D476)</f>
        <v>5101</v>
      </c>
      <c r="E453" s="140">
        <f>SUM(E454:E476)</f>
        <v>224</v>
      </c>
      <c r="F453" s="140">
        <f>SUM(F454:F476)</f>
        <v>740</v>
      </c>
      <c r="G453" s="64"/>
      <c r="H453" s="64"/>
    </row>
    <row r="454" spans="1:8" ht="90" x14ac:dyDescent="0.25">
      <c r="B454" s="143" t="s">
        <v>390</v>
      </c>
      <c r="C454" s="208" t="s">
        <v>391</v>
      </c>
      <c r="D454" s="233">
        <v>0</v>
      </c>
      <c r="E454" s="233">
        <v>55</v>
      </c>
      <c r="F454" s="233">
        <v>0</v>
      </c>
      <c r="G454" s="64"/>
      <c r="H454" s="64"/>
    </row>
    <row r="455" spans="1:8" ht="30" x14ac:dyDescent="0.25">
      <c r="B455" s="143" t="s">
        <v>392</v>
      </c>
      <c r="C455" s="208" t="s">
        <v>393</v>
      </c>
      <c r="D455" s="233">
        <v>0</v>
      </c>
      <c r="E455" s="233">
        <v>151</v>
      </c>
      <c r="F455" s="233">
        <v>0</v>
      </c>
      <c r="G455" s="64"/>
      <c r="H455" s="64"/>
    </row>
    <row r="456" spans="1:8" ht="75" x14ac:dyDescent="0.25">
      <c r="B456" s="143" t="s">
        <v>394</v>
      </c>
      <c r="C456" s="208" t="s">
        <v>395</v>
      </c>
      <c r="D456" s="233">
        <v>0</v>
      </c>
      <c r="E456" s="233">
        <v>16</v>
      </c>
      <c r="F456" s="233">
        <v>0</v>
      </c>
      <c r="G456" s="64"/>
      <c r="H456" s="64"/>
    </row>
    <row r="457" spans="1:8" ht="94.5" x14ac:dyDescent="0.25">
      <c r="B457" s="142" t="s">
        <v>396</v>
      </c>
      <c r="C457" s="209" t="s">
        <v>116</v>
      </c>
      <c r="D457" s="48">
        <v>631</v>
      </c>
      <c r="E457" s="48">
        <v>2</v>
      </c>
      <c r="F457" s="48">
        <v>50</v>
      </c>
    </row>
    <row r="458" spans="1:8" ht="94.5" x14ac:dyDescent="0.25">
      <c r="B458" s="142" t="s">
        <v>397</v>
      </c>
      <c r="C458" s="209" t="s">
        <v>117</v>
      </c>
      <c r="D458" s="48">
        <v>1391</v>
      </c>
      <c r="E458" s="233">
        <v>0</v>
      </c>
      <c r="F458" s="48">
        <v>60</v>
      </c>
    </row>
    <row r="459" spans="1:8" ht="94.5" x14ac:dyDescent="0.25">
      <c r="B459" s="142" t="s">
        <v>398</v>
      </c>
      <c r="C459" s="209" t="s">
        <v>118</v>
      </c>
      <c r="D459" s="48">
        <v>150</v>
      </c>
      <c r="E459" s="233">
        <v>0</v>
      </c>
      <c r="F459" s="48">
        <v>80</v>
      </c>
    </row>
    <row r="460" spans="1:8" ht="94.5" x14ac:dyDescent="0.25">
      <c r="B460" s="142" t="s">
        <v>399</v>
      </c>
      <c r="C460" s="209" t="s">
        <v>121</v>
      </c>
      <c r="D460" s="48">
        <v>485</v>
      </c>
      <c r="E460" s="233">
        <v>0</v>
      </c>
      <c r="F460" s="48">
        <v>80</v>
      </c>
    </row>
    <row r="461" spans="1:8" ht="94.5" x14ac:dyDescent="0.25">
      <c r="B461" s="142" t="s">
        <v>400</v>
      </c>
      <c r="C461" s="209" t="s">
        <v>122</v>
      </c>
      <c r="D461" s="48">
        <v>580</v>
      </c>
      <c r="E461" s="233">
        <v>0</v>
      </c>
      <c r="F461" s="48">
        <v>80</v>
      </c>
    </row>
    <row r="462" spans="1:8" ht="94.5" x14ac:dyDescent="0.25">
      <c r="B462" s="142" t="s">
        <v>401</v>
      </c>
      <c r="C462" s="209" t="s">
        <v>123</v>
      </c>
      <c r="D462" s="48">
        <v>538</v>
      </c>
      <c r="E462" s="233">
        <v>0</v>
      </c>
      <c r="F462" s="48">
        <v>80</v>
      </c>
    </row>
    <row r="463" spans="1:8" ht="94.5" x14ac:dyDescent="0.25">
      <c r="B463" s="142" t="s">
        <v>402</v>
      </c>
      <c r="C463" s="209" t="s">
        <v>124</v>
      </c>
      <c r="D463" s="48">
        <v>30</v>
      </c>
      <c r="E463" s="233">
        <v>0</v>
      </c>
      <c r="F463" s="48">
        <v>60</v>
      </c>
    </row>
    <row r="464" spans="1:8" ht="94.5" x14ac:dyDescent="0.25">
      <c r="B464" s="142" t="s">
        <v>403</v>
      </c>
      <c r="C464" s="209" t="s">
        <v>119</v>
      </c>
      <c r="D464" s="48">
        <v>58</v>
      </c>
      <c r="E464" s="233">
        <v>0</v>
      </c>
      <c r="F464" s="48">
        <v>50</v>
      </c>
    </row>
    <row r="465" spans="2:6" ht="94.5" x14ac:dyDescent="0.25">
      <c r="B465" s="142" t="s">
        <v>404</v>
      </c>
      <c r="C465" s="209" t="s">
        <v>125</v>
      </c>
      <c r="D465" s="48">
        <v>173</v>
      </c>
      <c r="E465" s="233">
        <v>0</v>
      </c>
      <c r="F465" s="48">
        <v>50</v>
      </c>
    </row>
    <row r="466" spans="2:6" ht="94.5" x14ac:dyDescent="0.25">
      <c r="B466" s="142" t="s">
        <v>405</v>
      </c>
      <c r="C466" s="209" t="s">
        <v>120</v>
      </c>
      <c r="D466" s="48">
        <v>45</v>
      </c>
      <c r="E466" s="233">
        <v>0</v>
      </c>
      <c r="F466" s="48">
        <v>40</v>
      </c>
    </row>
    <row r="467" spans="2:6" ht="94.5" x14ac:dyDescent="0.25">
      <c r="B467" s="142" t="s">
        <v>406</v>
      </c>
      <c r="C467" s="209" t="s">
        <v>127</v>
      </c>
      <c r="D467" s="48">
        <v>112</v>
      </c>
      <c r="E467" s="233">
        <v>0</v>
      </c>
      <c r="F467" s="48">
        <v>40</v>
      </c>
    </row>
    <row r="468" spans="2:6" ht="94.5" x14ac:dyDescent="0.25">
      <c r="B468" s="142" t="s">
        <v>407</v>
      </c>
      <c r="C468" s="209" t="s">
        <v>131</v>
      </c>
      <c r="D468" s="48">
        <v>422</v>
      </c>
      <c r="E468" s="233">
        <v>0</v>
      </c>
      <c r="F468" s="48">
        <v>20</v>
      </c>
    </row>
    <row r="469" spans="2:6" ht="94.5" x14ac:dyDescent="0.25">
      <c r="B469" s="142" t="s">
        <v>408</v>
      </c>
      <c r="C469" s="209" t="s">
        <v>126</v>
      </c>
      <c r="D469" s="48">
        <v>201</v>
      </c>
      <c r="E469" s="233">
        <v>0</v>
      </c>
      <c r="F469" s="48">
        <v>10</v>
      </c>
    </row>
    <row r="470" spans="2:6" ht="94.5" x14ac:dyDescent="0.25">
      <c r="B470" s="142" t="s">
        <v>409</v>
      </c>
      <c r="C470" s="209" t="s">
        <v>128</v>
      </c>
      <c r="D470" s="48">
        <v>30</v>
      </c>
      <c r="E470" s="233">
        <v>0</v>
      </c>
      <c r="F470" s="48">
        <v>15</v>
      </c>
    </row>
    <row r="471" spans="2:6" ht="94.5" x14ac:dyDescent="0.25">
      <c r="B471" s="142" t="s">
        <v>410</v>
      </c>
      <c r="C471" s="209" t="s">
        <v>129</v>
      </c>
      <c r="D471" s="48">
        <v>85</v>
      </c>
      <c r="E471" s="233">
        <v>0</v>
      </c>
      <c r="F471" s="48">
        <v>5</v>
      </c>
    </row>
    <row r="472" spans="2:6" ht="94.5" x14ac:dyDescent="0.25">
      <c r="B472" s="142" t="s">
        <v>411</v>
      </c>
      <c r="C472" s="209" t="s">
        <v>130</v>
      </c>
      <c r="D472" s="48">
        <v>60</v>
      </c>
      <c r="E472" s="233">
        <v>0</v>
      </c>
      <c r="F472" s="48">
        <v>5</v>
      </c>
    </row>
    <row r="473" spans="2:6" ht="94.5" x14ac:dyDescent="0.25">
      <c r="B473" s="142" t="s">
        <v>412</v>
      </c>
      <c r="C473" s="209" t="s">
        <v>132</v>
      </c>
      <c r="D473" s="48">
        <v>40</v>
      </c>
      <c r="E473" s="233">
        <v>0</v>
      </c>
      <c r="F473" s="48">
        <v>5</v>
      </c>
    </row>
    <row r="474" spans="2:6" ht="94.5" x14ac:dyDescent="0.25">
      <c r="B474" s="142" t="s">
        <v>413</v>
      </c>
      <c r="C474" s="209" t="s">
        <v>174</v>
      </c>
      <c r="D474" s="48">
        <v>50</v>
      </c>
      <c r="E474" s="233">
        <v>0</v>
      </c>
      <c r="F474" s="48">
        <v>5</v>
      </c>
    </row>
    <row r="475" spans="2:6" ht="94.5" x14ac:dyDescent="0.25">
      <c r="B475" s="142" t="s">
        <v>414</v>
      </c>
      <c r="C475" s="209" t="s">
        <v>175</v>
      </c>
      <c r="D475" s="48">
        <v>20</v>
      </c>
      <c r="E475" s="233">
        <v>0</v>
      </c>
      <c r="F475" s="48">
        <v>5</v>
      </c>
    </row>
  </sheetData>
  <autoFilter ref="A11:K340"/>
  <mergeCells count="103">
    <mergeCell ref="B447:F447"/>
    <mergeCell ref="B449:B451"/>
    <mergeCell ref="C449:C451"/>
    <mergeCell ref="D449:F449"/>
    <mergeCell ref="B430:B433"/>
    <mergeCell ref="C430:C433"/>
    <mergeCell ref="D430:D432"/>
    <mergeCell ref="B435:B437"/>
    <mergeCell ref="C435:C437"/>
    <mergeCell ref="D435:D437"/>
    <mergeCell ref="B439:B442"/>
    <mergeCell ref="C439:C442"/>
    <mergeCell ref="D439:D440"/>
    <mergeCell ref="D441:D442"/>
    <mergeCell ref="B411:B414"/>
    <mergeCell ref="C411:C414"/>
    <mergeCell ref="D411:D414"/>
    <mergeCell ref="B416:B417"/>
    <mergeCell ref="C416:C417"/>
    <mergeCell ref="B419:B421"/>
    <mergeCell ref="C419:C421"/>
    <mergeCell ref="D419:D421"/>
    <mergeCell ref="B423:B428"/>
    <mergeCell ref="C423:C428"/>
    <mergeCell ref="D424:D425"/>
    <mergeCell ref="B391:B394"/>
    <mergeCell ref="C391:C394"/>
    <mergeCell ref="D391:D394"/>
    <mergeCell ref="B396:B402"/>
    <mergeCell ref="C396:C402"/>
    <mergeCell ref="D396:D402"/>
    <mergeCell ref="B404:B409"/>
    <mergeCell ref="C404:C409"/>
    <mergeCell ref="D404:D408"/>
    <mergeCell ref="B342:F342"/>
    <mergeCell ref="B345:B389"/>
    <mergeCell ref="C345:C389"/>
    <mergeCell ref="D345:D346"/>
    <mergeCell ref="D347:D348"/>
    <mergeCell ref="D349:D353"/>
    <mergeCell ref="D354:D356"/>
    <mergeCell ref="D358:D361"/>
    <mergeCell ref="D362:D375"/>
    <mergeCell ref="D376:D377"/>
    <mergeCell ref="D378:D383"/>
    <mergeCell ref="D384:D385"/>
    <mergeCell ref="D386:D387"/>
    <mergeCell ref="C313:D313"/>
    <mergeCell ref="C323:D323"/>
    <mergeCell ref="C329:D329"/>
    <mergeCell ref="C332:D332"/>
    <mergeCell ref="C338:D338"/>
    <mergeCell ref="C339:D339"/>
    <mergeCell ref="C335:D335"/>
    <mergeCell ref="C340:D340"/>
    <mergeCell ref="C341:D341"/>
    <mergeCell ref="C120:D120"/>
    <mergeCell ref="C135:D135"/>
    <mergeCell ref="C145:D145"/>
    <mergeCell ref="C157:D157"/>
    <mergeCell ref="C160:D160"/>
    <mergeCell ref="C173:D173"/>
    <mergeCell ref="C291:D291"/>
    <mergeCell ref="C299:D299"/>
    <mergeCell ref="C308:D308"/>
    <mergeCell ref="C271:D271"/>
    <mergeCell ref="C277:D277"/>
    <mergeCell ref="B9:B11"/>
    <mergeCell ref="C9:C11"/>
    <mergeCell ref="D9:D11"/>
    <mergeCell ref="C70:D70"/>
    <mergeCell ref="C80:D80"/>
    <mergeCell ref="C40:D40"/>
    <mergeCell ref="D426:D428"/>
    <mergeCell ref="C83:D83"/>
    <mergeCell ref="C304:D304"/>
    <mergeCell ref="C169:D169"/>
    <mergeCell ref="C180:D180"/>
    <mergeCell ref="C189:D189"/>
    <mergeCell ref="C199:D199"/>
    <mergeCell ref="C208:D208"/>
    <mergeCell ref="C214:D214"/>
    <mergeCell ref="C220:D220"/>
    <mergeCell ref="C233:D233"/>
    <mergeCell ref="C240:D240"/>
    <mergeCell ref="C268:D268"/>
    <mergeCell ref="C93:D93"/>
    <mergeCell ref="C101:D101"/>
    <mergeCell ref="C111:D111"/>
    <mergeCell ref="B7:J7"/>
    <mergeCell ref="C43:D43"/>
    <mergeCell ref="C47:D47"/>
    <mergeCell ref="C55:D55"/>
    <mergeCell ref="C59:D59"/>
    <mergeCell ref="E10:E11"/>
    <mergeCell ref="F10:G10"/>
    <mergeCell ref="H10:H11"/>
    <mergeCell ref="E9:G9"/>
    <mergeCell ref="C12:D12"/>
    <mergeCell ref="C20:D20"/>
    <mergeCell ref="C35:D35"/>
    <mergeCell ref="H9:J9"/>
    <mergeCell ref="I10:J10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7"/>
  <sheetViews>
    <sheetView zoomScale="90" zoomScaleNormal="90" workbookViewId="0">
      <pane xSplit="3" ySplit="9" topLeftCell="D210" activePane="bottomRight" state="frozen"/>
      <selection activeCell="Y337" sqref="Y337"/>
      <selection pane="topRight" activeCell="Y337" sqref="Y337"/>
      <selection pane="bottomLeft" activeCell="Y337" sqref="Y337"/>
      <selection pane="bottomRight" activeCell="B209" sqref="B209:K209"/>
    </sheetView>
  </sheetViews>
  <sheetFormatPr defaultColWidth="7.7109375" defaultRowHeight="15.75" outlineLevelCol="1" x14ac:dyDescent="0.25"/>
  <cols>
    <col min="1" max="1" width="7.140625" style="36" customWidth="1"/>
    <col min="2" max="2" width="10" style="36" customWidth="1"/>
    <col min="3" max="3" width="33.5703125" style="36" customWidth="1"/>
    <col min="4" max="4" width="69.28515625" style="37" customWidth="1"/>
    <col min="5" max="5" width="19.7109375" style="22" customWidth="1"/>
    <col min="6" max="6" width="19.85546875" style="33" customWidth="1"/>
    <col min="7" max="7" width="13.140625" style="23" customWidth="1"/>
    <col min="8" max="8" width="19.5703125" style="23" customWidth="1"/>
    <col min="9" max="9" width="17.5703125" style="23" customWidth="1"/>
    <col min="10" max="10" width="14.85546875" style="23" hidden="1" customWidth="1" outlineLevel="1"/>
    <col min="11" max="11" width="16.140625" style="33" hidden="1" customWidth="1" outlineLevel="1"/>
    <col min="12" max="12" width="10.140625" style="23" hidden="1" customWidth="1" outlineLevel="1"/>
    <col min="13" max="13" width="13" style="23" hidden="1" customWidth="1" outlineLevel="1"/>
    <col min="14" max="15" width="11.85546875" style="23" hidden="1" customWidth="1" outlineLevel="1"/>
    <col min="16" max="16" width="7.7109375" style="23" collapsed="1"/>
    <col min="17" max="17" width="19.5703125" style="23" customWidth="1"/>
    <col min="18" max="18" width="22.5703125" style="23" customWidth="1"/>
    <col min="19" max="20" width="7.7109375" style="23"/>
    <col min="21" max="21" width="10" style="36" customWidth="1"/>
    <col min="22" max="22" width="33.5703125" style="36" customWidth="1"/>
    <col min="23" max="23" width="69.28515625" style="37" customWidth="1"/>
    <col min="24" max="24" width="19.7109375" style="22" customWidth="1"/>
    <col min="25" max="25" width="19.85546875" style="33" customWidth="1"/>
    <col min="26" max="16384" width="7.7109375" style="23"/>
  </cols>
  <sheetData>
    <row r="1" spans="1:25" x14ac:dyDescent="0.25">
      <c r="A1" s="20"/>
      <c r="B1" s="20"/>
      <c r="C1" s="20"/>
      <c r="D1" s="21"/>
      <c r="F1" s="93" t="s">
        <v>415</v>
      </c>
      <c r="K1" s="23"/>
      <c r="U1" s="23"/>
      <c r="V1" s="23"/>
      <c r="W1" s="23"/>
      <c r="X1" s="23"/>
      <c r="Y1" s="23"/>
    </row>
    <row r="2" spans="1:25" x14ac:dyDescent="0.25">
      <c r="A2" s="20"/>
      <c r="B2" s="20"/>
      <c r="C2" s="20"/>
      <c r="D2" s="21"/>
      <c r="F2" s="93" t="s">
        <v>492</v>
      </c>
      <c r="K2" s="23"/>
      <c r="U2" s="23"/>
      <c r="V2" s="23"/>
      <c r="W2" s="23"/>
      <c r="X2" s="23"/>
      <c r="Y2" s="23"/>
    </row>
    <row r="3" spans="1:25" x14ac:dyDescent="0.25">
      <c r="A3" s="20"/>
      <c r="B3" s="20"/>
      <c r="C3" s="20"/>
      <c r="D3" s="21"/>
      <c r="F3" s="93" t="s">
        <v>0</v>
      </c>
      <c r="K3" s="23"/>
      <c r="U3" s="23"/>
      <c r="V3" s="23"/>
      <c r="W3" s="23"/>
      <c r="X3" s="23"/>
      <c r="Y3" s="23"/>
    </row>
    <row r="4" spans="1:25" x14ac:dyDescent="0.25">
      <c r="A4" s="20"/>
      <c r="B4" s="20"/>
      <c r="C4" s="20"/>
      <c r="D4" s="21"/>
      <c r="F4" s="93" t="s">
        <v>1</v>
      </c>
      <c r="K4" s="23"/>
      <c r="U4" s="23"/>
      <c r="V4" s="23"/>
      <c r="W4" s="23"/>
      <c r="X4" s="23"/>
      <c r="Y4" s="23"/>
    </row>
    <row r="5" spans="1:25" x14ac:dyDescent="0.25">
      <c r="A5" s="20"/>
      <c r="B5" s="20"/>
      <c r="C5" s="20"/>
      <c r="D5" s="21"/>
      <c r="F5" s="93" t="s">
        <v>493</v>
      </c>
      <c r="K5" s="23"/>
      <c r="U5" s="23"/>
      <c r="V5" s="23"/>
      <c r="W5" s="23"/>
      <c r="X5" s="23"/>
      <c r="Y5" s="23"/>
    </row>
    <row r="6" spans="1:25" x14ac:dyDescent="0.25">
      <c r="A6" s="20"/>
      <c r="B6" s="20"/>
      <c r="C6" s="20"/>
      <c r="D6" s="25"/>
      <c r="E6" s="26"/>
      <c r="F6" s="27"/>
      <c r="K6" s="23"/>
      <c r="U6" s="23"/>
      <c r="V6" s="23"/>
      <c r="W6" s="23"/>
      <c r="X6" s="23"/>
      <c r="Y6" s="23"/>
    </row>
    <row r="7" spans="1:25" ht="80.25" customHeight="1" x14ac:dyDescent="0.25">
      <c r="A7" s="20"/>
      <c r="B7" s="455" t="s">
        <v>421</v>
      </c>
      <c r="C7" s="455"/>
      <c r="D7" s="455"/>
      <c r="E7" s="455"/>
      <c r="F7" s="455"/>
      <c r="K7" s="23"/>
      <c r="U7" s="23"/>
      <c r="V7" s="23"/>
      <c r="W7" s="23"/>
      <c r="X7" s="23"/>
      <c r="Y7" s="23"/>
    </row>
    <row r="8" spans="1:25" ht="5.25" customHeight="1" x14ac:dyDescent="0.25">
      <c r="A8" s="20"/>
      <c r="B8" s="89"/>
      <c r="C8" s="89"/>
      <c r="D8" s="81"/>
      <c r="E8" s="82"/>
      <c r="F8" s="83"/>
      <c r="K8" s="23"/>
      <c r="U8" s="23"/>
      <c r="V8" s="23"/>
      <c r="W8" s="23"/>
      <c r="X8" s="23"/>
      <c r="Y8" s="23"/>
    </row>
    <row r="9" spans="1:25" s="28" customFormat="1" ht="47.25" x14ac:dyDescent="0.25">
      <c r="A9" s="253"/>
      <c r="B9" s="254" t="s">
        <v>2</v>
      </c>
      <c r="C9" s="254"/>
      <c r="D9" s="86" t="s">
        <v>135</v>
      </c>
      <c r="E9" s="87" t="s">
        <v>463</v>
      </c>
      <c r="F9" s="88" t="s">
        <v>94</v>
      </c>
    </row>
    <row r="10" spans="1:25" s="28" customFormat="1" x14ac:dyDescent="0.25">
      <c r="A10" s="210"/>
      <c r="B10" s="150">
        <v>204</v>
      </c>
      <c r="C10" s="155" t="s">
        <v>100</v>
      </c>
      <c r="D10" s="163"/>
      <c r="E10" s="193">
        <f>E11</f>
        <v>60</v>
      </c>
      <c r="F10" s="193">
        <f>F11</f>
        <v>2596.1</v>
      </c>
    </row>
    <row r="11" spans="1:25" s="28" customFormat="1" x14ac:dyDescent="0.25">
      <c r="A11" s="210"/>
      <c r="B11" s="151"/>
      <c r="C11" s="156"/>
      <c r="D11" s="157" t="s">
        <v>5</v>
      </c>
      <c r="E11" s="174">
        <v>60</v>
      </c>
      <c r="F11" s="167">
        <v>2596.1</v>
      </c>
    </row>
    <row r="12" spans="1:25" s="28" customFormat="1" x14ac:dyDescent="0.25">
      <c r="A12" s="210"/>
      <c r="B12" s="153">
        <v>399</v>
      </c>
      <c r="C12" s="155" t="s">
        <v>136</v>
      </c>
      <c r="D12" s="164"/>
      <c r="E12" s="193">
        <f>E13+E15+E14</f>
        <v>266</v>
      </c>
      <c r="F12" s="193">
        <f>F13+F15+F14</f>
        <v>11504.1</v>
      </c>
    </row>
    <row r="13" spans="1:25" s="28" customFormat="1" ht="31.5" x14ac:dyDescent="0.25">
      <c r="A13" s="210"/>
      <c r="B13" s="152"/>
      <c r="C13" s="158"/>
      <c r="D13" s="212" t="s">
        <v>137</v>
      </c>
      <c r="E13" s="174">
        <v>202</v>
      </c>
      <c r="F13" s="167">
        <f>8808.4+69.6</f>
        <v>8878</v>
      </c>
    </row>
    <row r="14" spans="1:25" s="28" customFormat="1" ht="31.5" x14ac:dyDescent="0.25">
      <c r="A14" s="210"/>
      <c r="B14" s="152"/>
      <c r="C14" s="158"/>
      <c r="D14" s="212" t="s">
        <v>487</v>
      </c>
      <c r="E14" s="174">
        <v>10</v>
      </c>
      <c r="F14" s="167">
        <v>133.1</v>
      </c>
    </row>
    <row r="15" spans="1:25" s="28" customFormat="1" ht="18.75" customHeight="1" x14ac:dyDescent="0.25">
      <c r="A15" s="210"/>
      <c r="B15" s="152"/>
      <c r="C15" s="158"/>
      <c r="D15" s="157" t="s">
        <v>13</v>
      </c>
      <c r="E15" s="174">
        <v>54</v>
      </c>
      <c r="F15" s="167">
        <f>2562.6-69.6</f>
        <v>2493</v>
      </c>
    </row>
    <row r="16" spans="1:25" s="28" customFormat="1" x14ac:dyDescent="0.25">
      <c r="A16" s="210"/>
      <c r="B16" s="153">
        <v>61</v>
      </c>
      <c r="C16" s="155" t="s">
        <v>110</v>
      </c>
      <c r="D16" s="164"/>
      <c r="E16" s="194">
        <f t="shared" ref="E16" si="0">ROUND(E17+E18+E19+E20+E21,0)</f>
        <v>214</v>
      </c>
      <c r="F16" s="193">
        <f>ROUND(F17+F18+F19+F20+F21,1)</f>
        <v>9248.4</v>
      </c>
    </row>
    <row r="17" spans="1:6" s="28" customFormat="1" ht="47.25" x14ac:dyDescent="0.25">
      <c r="A17" s="210"/>
      <c r="B17" s="152"/>
      <c r="C17" s="158"/>
      <c r="D17" s="157" t="s">
        <v>138</v>
      </c>
      <c r="E17" s="174">
        <v>5</v>
      </c>
      <c r="F17" s="167">
        <v>103.7</v>
      </c>
    </row>
    <row r="18" spans="1:6" s="28" customFormat="1" ht="31.5" x14ac:dyDescent="0.25">
      <c r="A18" s="210"/>
      <c r="B18" s="152"/>
      <c r="C18" s="158"/>
      <c r="D18" s="157" t="s">
        <v>139</v>
      </c>
      <c r="E18" s="174">
        <v>35</v>
      </c>
      <c r="F18" s="167">
        <v>373.4</v>
      </c>
    </row>
    <row r="19" spans="1:6" s="28" customFormat="1" x14ac:dyDescent="0.25">
      <c r="A19" s="210"/>
      <c r="B19" s="152"/>
      <c r="C19" s="158"/>
      <c r="D19" s="157" t="s">
        <v>7</v>
      </c>
      <c r="E19" s="174">
        <v>14</v>
      </c>
      <c r="F19" s="167">
        <v>313.7</v>
      </c>
    </row>
    <row r="20" spans="1:6" s="28" customFormat="1" x14ac:dyDescent="0.25">
      <c r="A20" s="210"/>
      <c r="B20" s="152"/>
      <c r="C20" s="158"/>
      <c r="D20" s="157" t="s">
        <v>8</v>
      </c>
      <c r="E20" s="174">
        <f>228-59-68</f>
        <v>101</v>
      </c>
      <c r="F20" s="167">
        <v>6379.7</v>
      </c>
    </row>
    <row r="21" spans="1:6" s="28" customFormat="1" x14ac:dyDescent="0.25">
      <c r="A21" s="210"/>
      <c r="B21" s="152"/>
      <c r="C21" s="158"/>
      <c r="D21" s="157" t="s">
        <v>4</v>
      </c>
      <c r="E21" s="174">
        <v>59</v>
      </c>
      <c r="F21" s="167">
        <v>2077.9</v>
      </c>
    </row>
    <row r="22" spans="1:6" s="28" customFormat="1" x14ac:dyDescent="0.25">
      <c r="A22" s="210"/>
      <c r="B22" s="153">
        <v>29</v>
      </c>
      <c r="C22" s="155" t="s">
        <v>140</v>
      </c>
      <c r="D22" s="164"/>
      <c r="E22" s="194">
        <f t="shared" ref="E22" si="1">ROUND(E23,0)</f>
        <v>1500</v>
      </c>
      <c r="F22" s="193">
        <f>ROUND(F23,1)</f>
        <v>46254.1</v>
      </c>
    </row>
    <row r="23" spans="1:6" s="28" customFormat="1" x14ac:dyDescent="0.25">
      <c r="A23" s="210"/>
      <c r="B23" s="152"/>
      <c r="C23" s="158"/>
      <c r="D23" s="157" t="s">
        <v>9</v>
      </c>
      <c r="E23" s="174">
        <f>1400+100</f>
        <v>1500</v>
      </c>
      <c r="F23" s="167">
        <f>43109.8+3144.3</f>
        <v>46254.100000000006</v>
      </c>
    </row>
    <row r="24" spans="1:6" s="28" customFormat="1" x14ac:dyDescent="0.25">
      <c r="A24" s="210"/>
      <c r="B24" s="153">
        <v>33</v>
      </c>
      <c r="C24" s="155" t="s">
        <v>141</v>
      </c>
      <c r="D24" s="164"/>
      <c r="E24" s="194">
        <f t="shared" ref="E24" si="2">ROUND(E25+E26,0)</f>
        <v>2148</v>
      </c>
      <c r="F24" s="193">
        <f>ROUND(F25+F26,1)</f>
        <v>43110.1</v>
      </c>
    </row>
    <row r="25" spans="1:6" s="28" customFormat="1" x14ac:dyDescent="0.25">
      <c r="A25" s="210"/>
      <c r="B25" s="152"/>
      <c r="C25" s="158"/>
      <c r="D25" s="157" t="s">
        <v>8</v>
      </c>
      <c r="E25" s="174">
        <v>1794</v>
      </c>
      <c r="F25" s="167">
        <v>36248.400000000001</v>
      </c>
    </row>
    <row r="26" spans="1:6" s="28" customFormat="1" x14ac:dyDescent="0.25">
      <c r="A26" s="210"/>
      <c r="B26" s="152"/>
      <c r="C26" s="158"/>
      <c r="D26" s="157" t="s">
        <v>4</v>
      </c>
      <c r="E26" s="174">
        <v>354</v>
      </c>
      <c r="F26" s="167">
        <v>6861.7</v>
      </c>
    </row>
    <row r="27" spans="1:6" s="28" customFormat="1" x14ac:dyDescent="0.25">
      <c r="A27" s="210"/>
      <c r="B27" s="153">
        <v>133</v>
      </c>
      <c r="C27" s="155" t="s">
        <v>142</v>
      </c>
      <c r="D27" s="164"/>
      <c r="E27" s="194">
        <f t="shared" ref="E27" si="3">ROUND(E28,0)</f>
        <v>413</v>
      </c>
      <c r="F27" s="193">
        <f>ROUND(F28,1)</f>
        <v>11505.6</v>
      </c>
    </row>
    <row r="28" spans="1:6" s="28" customFormat="1" x14ac:dyDescent="0.25">
      <c r="A28" s="210"/>
      <c r="B28" s="152"/>
      <c r="C28" s="158"/>
      <c r="D28" s="157" t="s">
        <v>7</v>
      </c>
      <c r="E28" s="174">
        <f>635-31-50-141</f>
        <v>413</v>
      </c>
      <c r="F28" s="167">
        <f>23779.6-1000-5638.9-228.8-5406.3</f>
        <v>11505.599999999999</v>
      </c>
    </row>
    <row r="29" spans="1:6" s="28" customFormat="1" x14ac:dyDescent="0.25">
      <c r="A29" s="210"/>
      <c r="B29" s="153">
        <v>135</v>
      </c>
      <c r="C29" s="155" t="s">
        <v>111</v>
      </c>
      <c r="D29" s="164"/>
      <c r="E29" s="194">
        <f t="shared" ref="E29" si="4">ROUND(E30,0)</f>
        <v>771</v>
      </c>
      <c r="F29" s="193">
        <f>ROUND(F30,1)</f>
        <v>17675.7</v>
      </c>
    </row>
    <row r="30" spans="1:6" s="28" customFormat="1" x14ac:dyDescent="0.25">
      <c r="A30" s="210"/>
      <c r="B30" s="152"/>
      <c r="C30" s="158"/>
      <c r="D30" s="157" t="s">
        <v>7</v>
      </c>
      <c r="E30" s="174">
        <f>1100-134-6-189</f>
        <v>771</v>
      </c>
      <c r="F30" s="167">
        <f>24508.1-3039.1-123.3-3670</f>
        <v>17675.7</v>
      </c>
    </row>
    <row r="31" spans="1:6" s="28" customFormat="1" x14ac:dyDescent="0.25">
      <c r="A31" s="210"/>
      <c r="B31" s="153">
        <v>71</v>
      </c>
      <c r="C31" s="155" t="s">
        <v>96</v>
      </c>
      <c r="D31" s="164"/>
      <c r="E31" s="193">
        <f>SUM(E32:E39)</f>
        <v>907</v>
      </c>
      <c r="F31" s="193">
        <f>SUM(F32:F39)</f>
        <v>20787.2</v>
      </c>
    </row>
    <row r="32" spans="1:6" s="28" customFormat="1" x14ac:dyDescent="0.25">
      <c r="A32" s="210"/>
      <c r="B32" s="152"/>
      <c r="C32" s="158"/>
      <c r="D32" s="157" t="s">
        <v>143</v>
      </c>
      <c r="E32" s="174">
        <v>77</v>
      </c>
      <c r="F32" s="167">
        <v>1534.9</v>
      </c>
    </row>
    <row r="33" spans="1:7" s="28" customFormat="1" x14ac:dyDescent="0.25">
      <c r="A33" s="210"/>
      <c r="B33" s="152"/>
      <c r="C33" s="158"/>
      <c r="D33" s="157" t="s">
        <v>416</v>
      </c>
      <c r="E33" s="174">
        <v>60</v>
      </c>
      <c r="F33" s="167">
        <f>4932.2-327.4</f>
        <v>4604.8</v>
      </c>
    </row>
    <row r="34" spans="1:7" s="28" customFormat="1" ht="47.25" x14ac:dyDescent="0.25">
      <c r="A34" s="210"/>
      <c r="B34" s="152"/>
      <c r="C34" s="158"/>
      <c r="D34" s="157" t="s">
        <v>138</v>
      </c>
      <c r="E34" s="174">
        <v>4</v>
      </c>
      <c r="F34" s="167">
        <v>60.1</v>
      </c>
    </row>
    <row r="35" spans="1:7" s="28" customFormat="1" ht="31.5" x14ac:dyDescent="0.25">
      <c r="A35" s="210"/>
      <c r="B35" s="152"/>
      <c r="C35" s="158"/>
      <c r="D35" s="157" t="s">
        <v>139</v>
      </c>
      <c r="E35" s="174">
        <v>44</v>
      </c>
      <c r="F35" s="167">
        <v>302.60000000000002</v>
      </c>
    </row>
    <row r="36" spans="1:7" s="28" customFormat="1" x14ac:dyDescent="0.25">
      <c r="A36" s="210"/>
      <c r="B36" s="152"/>
      <c r="C36" s="158"/>
      <c r="D36" s="157" t="s">
        <v>8</v>
      </c>
      <c r="E36" s="174">
        <f>664-200</f>
        <v>464</v>
      </c>
      <c r="F36" s="167">
        <f>12982+327.4-4000</f>
        <v>9309.4</v>
      </c>
    </row>
    <row r="37" spans="1:7" s="28" customFormat="1" x14ac:dyDescent="0.25">
      <c r="A37" s="210"/>
      <c r="B37" s="152"/>
      <c r="C37" s="158"/>
      <c r="D37" s="157" t="s">
        <v>9</v>
      </c>
      <c r="E37" s="174">
        <v>200</v>
      </c>
      <c r="F37" s="167">
        <v>4000</v>
      </c>
    </row>
    <row r="38" spans="1:7" s="28" customFormat="1" x14ac:dyDescent="0.25">
      <c r="A38" s="210"/>
      <c r="B38" s="152"/>
      <c r="C38" s="158"/>
      <c r="D38" s="157" t="s">
        <v>7</v>
      </c>
      <c r="E38" s="174">
        <v>49</v>
      </c>
      <c r="F38" s="167">
        <v>824.8</v>
      </c>
    </row>
    <row r="39" spans="1:7" s="28" customFormat="1" x14ac:dyDescent="0.25">
      <c r="A39" s="210"/>
      <c r="B39" s="152"/>
      <c r="C39" s="158"/>
      <c r="D39" s="157" t="s">
        <v>4</v>
      </c>
      <c r="E39" s="174">
        <v>9</v>
      </c>
      <c r="F39" s="167">
        <v>150.6</v>
      </c>
    </row>
    <row r="40" spans="1:7" s="28" customFormat="1" x14ac:dyDescent="0.25">
      <c r="A40" s="210"/>
      <c r="B40" s="153">
        <v>103</v>
      </c>
      <c r="C40" s="155" t="s">
        <v>97</v>
      </c>
      <c r="D40" s="164"/>
      <c r="E40" s="194">
        <f t="shared" ref="E40" si="5">ROUND(E41+E42+E43+E44+E45+E46,0)</f>
        <v>2315</v>
      </c>
      <c r="F40" s="193">
        <f>ROUND(F41+F42+F43+F44+F45+F46,1)</f>
        <v>56963.3</v>
      </c>
    </row>
    <row r="41" spans="1:7" s="28" customFormat="1" x14ac:dyDescent="0.25">
      <c r="A41" s="210"/>
      <c r="B41" s="152"/>
      <c r="C41" s="158"/>
      <c r="D41" s="157" t="s">
        <v>37</v>
      </c>
      <c r="E41" s="174">
        <v>120</v>
      </c>
      <c r="F41" s="167">
        <f>1425.7-830.5</f>
        <v>595.20000000000005</v>
      </c>
    </row>
    <row r="42" spans="1:7" s="28" customFormat="1" x14ac:dyDescent="0.25">
      <c r="A42" s="210"/>
      <c r="B42" s="152"/>
      <c r="C42" s="158"/>
      <c r="D42" s="157" t="s">
        <v>10</v>
      </c>
      <c r="E42" s="174">
        <f>125+40</f>
        <v>165</v>
      </c>
      <c r="F42" s="167">
        <f>2698.6-82.6+830.5</f>
        <v>3446.5</v>
      </c>
      <c r="G42" s="30"/>
    </row>
    <row r="43" spans="1:7" s="28" customFormat="1" x14ac:dyDescent="0.25">
      <c r="A43" s="210"/>
      <c r="B43" s="152"/>
      <c r="C43" s="158"/>
      <c r="D43" s="157" t="s">
        <v>8</v>
      </c>
      <c r="E43" s="174">
        <v>1690</v>
      </c>
      <c r="F43" s="167">
        <f>47185.8+82.6</f>
        <v>47268.4</v>
      </c>
    </row>
    <row r="44" spans="1:7" s="28" customFormat="1" ht="47.25" x14ac:dyDescent="0.25">
      <c r="A44" s="210"/>
      <c r="B44" s="152"/>
      <c r="C44" s="158"/>
      <c r="D44" s="157" t="s">
        <v>138</v>
      </c>
      <c r="E44" s="174">
        <v>152</v>
      </c>
      <c r="F44" s="167">
        <v>3051.7999999999997</v>
      </c>
    </row>
    <row r="45" spans="1:7" s="28" customFormat="1" ht="31.5" x14ac:dyDescent="0.25">
      <c r="A45" s="210"/>
      <c r="B45" s="152"/>
      <c r="C45" s="158"/>
      <c r="D45" s="157" t="s">
        <v>139</v>
      </c>
      <c r="E45" s="174">
        <v>152</v>
      </c>
      <c r="F45" s="167">
        <v>1562.7</v>
      </c>
    </row>
    <row r="46" spans="1:7" s="28" customFormat="1" ht="18" customHeight="1" x14ac:dyDescent="0.25">
      <c r="A46" s="210"/>
      <c r="B46" s="152"/>
      <c r="C46" s="158"/>
      <c r="D46" s="157" t="s">
        <v>7</v>
      </c>
      <c r="E46" s="174">
        <v>36</v>
      </c>
      <c r="F46" s="167">
        <v>1038.7</v>
      </c>
    </row>
    <row r="47" spans="1:7" s="28" customFormat="1" x14ac:dyDescent="0.25">
      <c r="A47" s="210"/>
      <c r="B47" s="153">
        <v>73</v>
      </c>
      <c r="C47" s="155" t="s">
        <v>98</v>
      </c>
      <c r="D47" s="164"/>
      <c r="E47" s="194">
        <f>SUM(E48:E52)</f>
        <v>872</v>
      </c>
      <c r="F47" s="193">
        <f>SUM(F48:F52)</f>
        <v>22668.5</v>
      </c>
    </row>
    <row r="48" spans="1:7" s="28" customFormat="1" ht="47.25" x14ac:dyDescent="0.25">
      <c r="A48" s="210"/>
      <c r="B48" s="152"/>
      <c r="C48" s="158"/>
      <c r="D48" s="157" t="s">
        <v>138</v>
      </c>
      <c r="E48" s="174">
        <v>15</v>
      </c>
      <c r="F48" s="167">
        <v>293.89999999999998</v>
      </c>
    </row>
    <row r="49" spans="1:6" s="28" customFormat="1" ht="31.5" x14ac:dyDescent="0.25">
      <c r="A49" s="210"/>
      <c r="B49" s="152"/>
      <c r="C49" s="158"/>
      <c r="D49" s="157" t="s">
        <v>139</v>
      </c>
      <c r="E49" s="174">
        <v>5</v>
      </c>
      <c r="F49" s="167">
        <v>45.1</v>
      </c>
    </row>
    <row r="50" spans="1:6" s="28" customFormat="1" x14ac:dyDescent="0.25">
      <c r="A50" s="210"/>
      <c r="B50" s="152"/>
      <c r="C50" s="158"/>
      <c r="D50" s="157" t="s">
        <v>7</v>
      </c>
      <c r="E50" s="174">
        <v>9</v>
      </c>
      <c r="F50" s="167">
        <v>227.1</v>
      </c>
    </row>
    <row r="51" spans="1:6" s="28" customFormat="1" x14ac:dyDescent="0.25">
      <c r="A51" s="210"/>
      <c r="B51" s="152"/>
      <c r="C51" s="158"/>
      <c r="D51" s="157" t="s">
        <v>8</v>
      </c>
      <c r="E51" s="174">
        <v>468</v>
      </c>
      <c r="F51" s="167">
        <v>12191</v>
      </c>
    </row>
    <row r="52" spans="1:6" s="28" customFormat="1" x14ac:dyDescent="0.25">
      <c r="A52" s="210"/>
      <c r="B52" s="152"/>
      <c r="C52" s="158"/>
      <c r="D52" s="159" t="s">
        <v>9</v>
      </c>
      <c r="E52" s="174">
        <v>375</v>
      </c>
      <c r="F52" s="167">
        <v>9911.4</v>
      </c>
    </row>
    <row r="53" spans="1:6" s="28" customFormat="1" x14ac:dyDescent="0.25">
      <c r="A53" s="210"/>
      <c r="B53" s="153">
        <v>35</v>
      </c>
      <c r="C53" s="155" t="s">
        <v>145</v>
      </c>
      <c r="D53" s="164"/>
      <c r="E53" s="194">
        <f t="shared" ref="E53" si="6">ROUND(E54+E55,0)</f>
        <v>1166</v>
      </c>
      <c r="F53" s="193">
        <f>ROUND(F54+F55,1)</f>
        <v>25730.5</v>
      </c>
    </row>
    <row r="54" spans="1:6" s="28" customFormat="1" x14ac:dyDescent="0.25">
      <c r="A54" s="210"/>
      <c r="B54" s="152"/>
      <c r="C54" s="158"/>
      <c r="D54" s="157" t="s">
        <v>8</v>
      </c>
      <c r="E54" s="174">
        <v>525</v>
      </c>
      <c r="F54" s="167">
        <v>10024</v>
      </c>
    </row>
    <row r="55" spans="1:6" s="28" customFormat="1" x14ac:dyDescent="0.25">
      <c r="A55" s="210"/>
      <c r="B55" s="152"/>
      <c r="C55" s="158"/>
      <c r="D55" s="157" t="s">
        <v>21</v>
      </c>
      <c r="E55" s="174">
        <v>641</v>
      </c>
      <c r="F55" s="167">
        <v>15706.5</v>
      </c>
    </row>
    <row r="56" spans="1:6" s="28" customFormat="1" x14ac:dyDescent="0.25">
      <c r="A56" s="210"/>
      <c r="B56" s="153">
        <v>275</v>
      </c>
      <c r="C56" s="155" t="s">
        <v>146</v>
      </c>
      <c r="D56" s="164"/>
      <c r="E56" s="194">
        <f t="shared" ref="E56" si="7">ROUND(E57,0)</f>
        <v>561</v>
      </c>
      <c r="F56" s="193">
        <f>ROUND(F57,1)</f>
        <v>11453.1</v>
      </c>
    </row>
    <row r="57" spans="1:6" s="28" customFormat="1" x14ac:dyDescent="0.25">
      <c r="A57" s="210"/>
      <c r="B57" s="152"/>
      <c r="C57" s="158"/>
      <c r="D57" s="157" t="s">
        <v>8</v>
      </c>
      <c r="E57" s="174">
        <v>561</v>
      </c>
      <c r="F57" s="167">
        <v>11453.1</v>
      </c>
    </row>
    <row r="58" spans="1:6" s="28" customFormat="1" x14ac:dyDescent="0.25">
      <c r="A58" s="210"/>
      <c r="B58" s="153">
        <v>146</v>
      </c>
      <c r="C58" s="155" t="s">
        <v>101</v>
      </c>
      <c r="D58" s="164"/>
      <c r="E58" s="194">
        <f t="shared" ref="E58" si="8">ROUND(E59+E60,0)</f>
        <v>1118</v>
      </c>
      <c r="F58" s="193">
        <f>ROUND(F59+F60,1)</f>
        <v>24481.7</v>
      </c>
    </row>
    <row r="59" spans="1:6" s="28" customFormat="1" x14ac:dyDescent="0.25">
      <c r="A59" s="210"/>
      <c r="B59" s="152"/>
      <c r="C59" s="158"/>
      <c r="D59" s="157" t="s">
        <v>147</v>
      </c>
      <c r="E59" s="174">
        <f>250+670</f>
        <v>920</v>
      </c>
      <c r="F59" s="167">
        <f>3783.1+937.9+13400</f>
        <v>18121</v>
      </c>
    </row>
    <row r="60" spans="1:6" s="28" customFormat="1" x14ac:dyDescent="0.25">
      <c r="A60" s="210"/>
      <c r="B60" s="152"/>
      <c r="C60" s="158"/>
      <c r="D60" s="157" t="s">
        <v>7</v>
      </c>
      <c r="E60" s="174">
        <f>900-670-32</f>
        <v>198</v>
      </c>
      <c r="F60" s="167">
        <f>22281.8-937.9-13400-1583.2</f>
        <v>6360.699999999998</v>
      </c>
    </row>
    <row r="61" spans="1:6" s="28" customFormat="1" x14ac:dyDescent="0.25">
      <c r="A61" s="210"/>
      <c r="B61" s="153">
        <v>292</v>
      </c>
      <c r="C61" s="155" t="s">
        <v>148</v>
      </c>
      <c r="D61" s="164"/>
      <c r="E61" s="194">
        <f t="shared" ref="E61" si="9">ROUND(E62+E63,0)</f>
        <v>825</v>
      </c>
      <c r="F61" s="193">
        <f>ROUND(F62+F63,1)</f>
        <v>74853.7</v>
      </c>
    </row>
    <row r="62" spans="1:6" s="28" customFormat="1" ht="47.25" x14ac:dyDescent="0.25">
      <c r="A62" s="210"/>
      <c r="B62" s="152"/>
      <c r="C62" s="158"/>
      <c r="D62" s="157" t="s">
        <v>138</v>
      </c>
      <c r="E62" s="174">
        <f>300-104</f>
        <v>196</v>
      </c>
      <c r="F62" s="167">
        <f>4748.7+980.7</f>
        <v>5729.4</v>
      </c>
    </row>
    <row r="63" spans="1:6" s="28" customFormat="1" ht="31.5" x14ac:dyDescent="0.25">
      <c r="A63" s="210"/>
      <c r="B63" s="152"/>
      <c r="C63" s="158"/>
      <c r="D63" s="157" t="s">
        <v>149</v>
      </c>
      <c r="E63" s="174">
        <f>600+29</f>
        <v>629</v>
      </c>
      <c r="F63" s="167">
        <f>70105-980.7</f>
        <v>69124.3</v>
      </c>
    </row>
    <row r="64" spans="1:6" s="28" customFormat="1" x14ac:dyDescent="0.25">
      <c r="A64" s="210"/>
      <c r="B64" s="153">
        <v>10</v>
      </c>
      <c r="C64" s="155" t="s">
        <v>150</v>
      </c>
      <c r="D64" s="164"/>
      <c r="E64" s="194">
        <f t="shared" ref="E64" si="10">ROUND(E65+E66,0)</f>
        <v>3050</v>
      </c>
      <c r="F64" s="193">
        <f>ROUND(F65+F66,1)</f>
        <v>63111.199999999997</v>
      </c>
    </row>
    <row r="65" spans="1:7" s="28" customFormat="1" x14ac:dyDescent="0.25">
      <c r="A65" s="210"/>
      <c r="B65" s="152"/>
      <c r="C65" s="158"/>
      <c r="D65" s="157" t="s">
        <v>8</v>
      </c>
      <c r="E65" s="174">
        <f>1800+200</f>
        <v>2000</v>
      </c>
      <c r="F65" s="167">
        <f>36813.4+4105.6</f>
        <v>40919</v>
      </c>
    </row>
    <row r="66" spans="1:7" s="28" customFormat="1" x14ac:dyDescent="0.25">
      <c r="A66" s="210"/>
      <c r="B66" s="152"/>
      <c r="C66" s="158"/>
      <c r="D66" s="157" t="s">
        <v>4</v>
      </c>
      <c r="E66" s="174">
        <f>1000+50</f>
        <v>1050</v>
      </c>
      <c r="F66" s="167">
        <v>22192.2</v>
      </c>
    </row>
    <row r="67" spans="1:7" s="28" customFormat="1" x14ac:dyDescent="0.25">
      <c r="A67" s="210"/>
      <c r="B67" s="153">
        <v>4</v>
      </c>
      <c r="C67" s="155" t="s">
        <v>151</v>
      </c>
      <c r="D67" s="164"/>
      <c r="E67" s="194">
        <f t="shared" ref="E67" si="11">ROUND(E68,0)</f>
        <v>2532</v>
      </c>
      <c r="F67" s="193">
        <f>ROUND(F68,1)</f>
        <v>51683.7</v>
      </c>
    </row>
    <row r="68" spans="1:7" s="28" customFormat="1" x14ac:dyDescent="0.25">
      <c r="A68" s="210"/>
      <c r="B68" s="152"/>
      <c r="C68" s="158"/>
      <c r="D68" s="157" t="s">
        <v>8</v>
      </c>
      <c r="E68" s="174">
        <v>2532</v>
      </c>
      <c r="F68" s="167">
        <v>51683.700000000004</v>
      </c>
    </row>
    <row r="69" spans="1:7" s="28" customFormat="1" x14ac:dyDescent="0.25">
      <c r="A69" s="210"/>
      <c r="B69" s="153">
        <v>142</v>
      </c>
      <c r="C69" s="155" t="s">
        <v>112</v>
      </c>
      <c r="D69" s="164"/>
      <c r="E69" s="194">
        <f t="shared" ref="E69" si="12">ROUND(E70+E71,0)</f>
        <v>3050</v>
      </c>
      <c r="F69" s="193">
        <f>ROUND(F70+F71,1)</f>
        <v>40775.4</v>
      </c>
    </row>
    <row r="70" spans="1:7" s="28" customFormat="1" ht="47.25" x14ac:dyDescent="0.25">
      <c r="A70" s="210"/>
      <c r="B70" s="152"/>
      <c r="C70" s="158"/>
      <c r="D70" s="157" t="s">
        <v>138</v>
      </c>
      <c r="E70" s="174">
        <v>2850</v>
      </c>
      <c r="F70" s="167">
        <v>39411.599999999999</v>
      </c>
    </row>
    <row r="71" spans="1:7" s="28" customFormat="1" ht="31.5" x14ac:dyDescent="0.25">
      <c r="A71" s="210"/>
      <c r="B71" s="152"/>
      <c r="C71" s="158"/>
      <c r="D71" s="157" t="s">
        <v>139</v>
      </c>
      <c r="E71" s="174">
        <v>200</v>
      </c>
      <c r="F71" s="167">
        <v>1363.8</v>
      </c>
    </row>
    <row r="72" spans="1:7" s="28" customFormat="1" x14ac:dyDescent="0.25">
      <c r="A72" s="210"/>
      <c r="B72" s="153">
        <v>129</v>
      </c>
      <c r="C72" s="155" t="s">
        <v>104</v>
      </c>
      <c r="D72" s="164"/>
      <c r="E72" s="194">
        <f t="shared" ref="E72" si="13">ROUND(E73+E74,0)</f>
        <v>3890</v>
      </c>
      <c r="F72" s="193">
        <f>ROUND(F73+F74,1)</f>
        <v>52508.2</v>
      </c>
    </row>
    <row r="73" spans="1:7" s="28" customFormat="1" ht="47.25" x14ac:dyDescent="0.25">
      <c r="A73" s="210"/>
      <c r="B73" s="152"/>
      <c r="C73" s="158"/>
      <c r="D73" s="157" t="s">
        <v>138</v>
      </c>
      <c r="E73" s="174">
        <f>3184+290</f>
        <v>3474</v>
      </c>
      <c r="F73" s="167">
        <f>45160.9+4486.6</f>
        <v>49647.5</v>
      </c>
    </row>
    <row r="74" spans="1:7" s="28" customFormat="1" ht="32.25" customHeight="1" x14ac:dyDescent="0.25">
      <c r="A74" s="210"/>
      <c r="B74" s="152"/>
      <c r="C74" s="158"/>
      <c r="D74" s="157" t="s">
        <v>139</v>
      </c>
      <c r="E74" s="174">
        <v>416</v>
      </c>
      <c r="F74" s="167">
        <v>2860.7</v>
      </c>
    </row>
    <row r="75" spans="1:7" s="28" customFormat="1" x14ac:dyDescent="0.25">
      <c r="A75" s="210"/>
      <c r="B75" s="153">
        <v>231</v>
      </c>
      <c r="C75" s="155" t="s">
        <v>152</v>
      </c>
      <c r="D75" s="164"/>
      <c r="E75" s="194">
        <f>ROUND(E76+E77+E78+E80+E79,0)</f>
        <v>1429</v>
      </c>
      <c r="F75" s="193">
        <f>ROUND(F76+F77+F78+F80+F79,1)</f>
        <v>29894.9</v>
      </c>
    </row>
    <row r="76" spans="1:7" s="28" customFormat="1" ht="31.5" x14ac:dyDescent="0.25">
      <c r="A76" s="210"/>
      <c r="B76" s="152"/>
      <c r="C76" s="158"/>
      <c r="D76" s="157" t="s">
        <v>139</v>
      </c>
      <c r="E76" s="174">
        <v>45</v>
      </c>
      <c r="F76" s="167">
        <v>289.5</v>
      </c>
      <c r="G76" s="224"/>
    </row>
    <row r="77" spans="1:7" s="28" customFormat="1" x14ac:dyDescent="0.25">
      <c r="A77" s="210"/>
      <c r="B77" s="152"/>
      <c r="C77" s="158"/>
      <c r="D77" s="157" t="s">
        <v>9</v>
      </c>
      <c r="E77" s="174">
        <v>248</v>
      </c>
      <c r="F77" s="167">
        <v>5256.4</v>
      </c>
      <c r="G77" s="224"/>
    </row>
    <row r="78" spans="1:7" s="28" customFormat="1" x14ac:dyDescent="0.25">
      <c r="A78" s="210"/>
      <c r="B78" s="152"/>
      <c r="C78" s="158"/>
      <c r="D78" s="157" t="s">
        <v>4</v>
      </c>
      <c r="E78" s="174">
        <v>18</v>
      </c>
      <c r="F78" s="167">
        <v>363.3</v>
      </c>
      <c r="G78" s="224"/>
    </row>
    <row r="79" spans="1:7" s="28" customFormat="1" x14ac:dyDescent="0.25">
      <c r="A79" s="210"/>
      <c r="B79" s="152"/>
      <c r="C79" s="158"/>
      <c r="D79" s="157" t="s">
        <v>7</v>
      </c>
      <c r="E79" s="174">
        <v>40</v>
      </c>
      <c r="F79" s="167">
        <v>860</v>
      </c>
      <c r="G79" s="224"/>
    </row>
    <row r="80" spans="1:7" s="28" customFormat="1" x14ac:dyDescent="0.25">
      <c r="A80" s="210"/>
      <c r="B80" s="152"/>
      <c r="C80" s="158"/>
      <c r="D80" s="157" t="s">
        <v>8</v>
      </c>
      <c r="E80" s="174">
        <f>1118-40</f>
        <v>1078</v>
      </c>
      <c r="F80" s="167">
        <f>23985.7-860</f>
        <v>23125.7</v>
      </c>
      <c r="G80" s="224"/>
    </row>
    <row r="81" spans="1:6" s="28" customFormat="1" x14ac:dyDescent="0.25">
      <c r="A81" s="210"/>
      <c r="B81" s="153">
        <v>115</v>
      </c>
      <c r="C81" s="155" t="s">
        <v>153</v>
      </c>
      <c r="D81" s="164"/>
      <c r="E81" s="194">
        <f t="shared" ref="E81" si="14">ROUND(E82+E83+E84+E85+E86+E87+E88+E89+E90+E91+E92,0)</f>
        <v>1625</v>
      </c>
      <c r="F81" s="193">
        <f>ROUND(F82+F83+F84+F85+F86+F87+F88+F89+F90+F91+F92,1)</f>
        <v>57556.6</v>
      </c>
    </row>
    <row r="82" spans="1:6" s="28" customFormat="1" ht="47.25" x14ac:dyDescent="0.25">
      <c r="A82" s="210"/>
      <c r="B82" s="152"/>
      <c r="C82" s="158"/>
      <c r="D82" s="157" t="s">
        <v>138</v>
      </c>
      <c r="E82" s="174">
        <f>331-70</f>
        <v>261</v>
      </c>
      <c r="F82" s="167">
        <v>5863.2</v>
      </c>
    </row>
    <row r="83" spans="1:6" s="28" customFormat="1" ht="31.5" x14ac:dyDescent="0.25">
      <c r="A83" s="210"/>
      <c r="B83" s="152"/>
      <c r="C83" s="158"/>
      <c r="D83" s="157" t="s">
        <v>139</v>
      </c>
      <c r="E83" s="174">
        <v>43</v>
      </c>
      <c r="F83" s="167">
        <v>390.8</v>
      </c>
    </row>
    <row r="84" spans="1:6" s="28" customFormat="1" x14ac:dyDescent="0.25">
      <c r="A84" s="210"/>
      <c r="B84" s="152"/>
      <c r="C84" s="158"/>
      <c r="D84" s="157" t="s">
        <v>16</v>
      </c>
      <c r="E84" s="174">
        <f>255-60</f>
        <v>195</v>
      </c>
      <c r="F84" s="167">
        <v>6096.7</v>
      </c>
    </row>
    <row r="85" spans="1:6" s="28" customFormat="1" x14ac:dyDescent="0.25">
      <c r="A85" s="210"/>
      <c r="B85" s="152"/>
      <c r="C85" s="158"/>
      <c r="D85" s="157" t="s">
        <v>9</v>
      </c>
      <c r="E85" s="174">
        <v>247</v>
      </c>
      <c r="F85" s="167">
        <v>6269.2</v>
      </c>
    </row>
    <row r="86" spans="1:6" s="28" customFormat="1" x14ac:dyDescent="0.25">
      <c r="A86" s="210"/>
      <c r="B86" s="152"/>
      <c r="C86" s="158"/>
      <c r="D86" s="157" t="s">
        <v>19</v>
      </c>
      <c r="E86" s="174">
        <v>64</v>
      </c>
      <c r="F86" s="167">
        <f>306.5+160.4</f>
        <v>466.9</v>
      </c>
    </row>
    <row r="87" spans="1:6" s="28" customFormat="1" x14ac:dyDescent="0.25">
      <c r="A87" s="210"/>
      <c r="B87" s="152"/>
      <c r="C87" s="158"/>
      <c r="D87" s="157" t="s">
        <v>7</v>
      </c>
      <c r="E87" s="174">
        <v>103</v>
      </c>
      <c r="F87" s="167">
        <v>2760.1</v>
      </c>
    </row>
    <row r="88" spans="1:6" s="28" customFormat="1" x14ac:dyDescent="0.25">
      <c r="A88" s="210"/>
      <c r="B88" s="152"/>
      <c r="C88" s="158"/>
      <c r="D88" s="157" t="s">
        <v>8</v>
      </c>
      <c r="E88" s="174">
        <f>578-142-100</f>
        <v>336</v>
      </c>
      <c r="F88" s="167">
        <f>15280.3+111.7</f>
        <v>15392</v>
      </c>
    </row>
    <row r="89" spans="1:6" s="28" customFormat="1" x14ac:dyDescent="0.25">
      <c r="A89" s="210"/>
      <c r="B89" s="152"/>
      <c r="C89" s="158"/>
      <c r="D89" s="157" t="s">
        <v>4</v>
      </c>
      <c r="E89" s="174">
        <v>117</v>
      </c>
      <c r="F89" s="167">
        <v>2890.4</v>
      </c>
    </row>
    <row r="90" spans="1:6" s="28" customFormat="1" x14ac:dyDescent="0.25">
      <c r="A90" s="210"/>
      <c r="B90" s="152"/>
      <c r="C90" s="158"/>
      <c r="D90" s="157" t="s">
        <v>143</v>
      </c>
      <c r="E90" s="174">
        <f>127-40</f>
        <v>87</v>
      </c>
      <c r="F90" s="167">
        <v>3249.3</v>
      </c>
    </row>
    <row r="91" spans="1:6" s="28" customFormat="1" x14ac:dyDescent="0.25">
      <c r="A91" s="210"/>
      <c r="B91" s="152"/>
      <c r="C91" s="158"/>
      <c r="D91" s="157" t="s">
        <v>416</v>
      </c>
      <c r="E91" s="174">
        <v>160</v>
      </c>
      <c r="F91" s="167">
        <f>12608-272.1</f>
        <v>12335.9</v>
      </c>
    </row>
    <row r="92" spans="1:6" s="28" customFormat="1" x14ac:dyDescent="0.25">
      <c r="A92" s="210"/>
      <c r="B92" s="152"/>
      <c r="C92" s="158"/>
      <c r="D92" s="157" t="s">
        <v>417</v>
      </c>
      <c r="E92" s="174">
        <v>12</v>
      </c>
      <c r="F92" s="167">
        <v>1842.1</v>
      </c>
    </row>
    <row r="93" spans="1:6" s="28" customFormat="1" x14ac:dyDescent="0.25">
      <c r="A93" s="210"/>
      <c r="B93" s="153">
        <v>144</v>
      </c>
      <c r="C93" s="155" t="s">
        <v>154</v>
      </c>
      <c r="D93" s="164"/>
      <c r="E93" s="195">
        <f t="shared" ref="E93" si="15">ROUND(E94+E95+E96+E97,0)</f>
        <v>2198</v>
      </c>
      <c r="F93" s="88">
        <f>ROUND(F94+F95+F96+F97,1)</f>
        <v>86840.5</v>
      </c>
    </row>
    <row r="94" spans="1:6" s="28" customFormat="1" x14ac:dyDescent="0.25">
      <c r="A94" s="210"/>
      <c r="B94" s="152"/>
      <c r="C94" s="158"/>
      <c r="D94" s="157" t="s">
        <v>197</v>
      </c>
      <c r="E94" s="174">
        <v>186</v>
      </c>
      <c r="F94" s="167">
        <v>24637.8</v>
      </c>
    </row>
    <row r="95" spans="1:6" s="28" customFormat="1" x14ac:dyDescent="0.25">
      <c r="A95" s="210"/>
      <c r="B95" s="152"/>
      <c r="C95" s="158"/>
      <c r="D95" s="157" t="s">
        <v>25</v>
      </c>
      <c r="E95" s="174">
        <f>1132+150</f>
        <v>1282</v>
      </c>
      <c r="F95" s="167">
        <f>41088.1+5914.7</f>
        <v>47002.799999999996</v>
      </c>
    </row>
    <row r="96" spans="1:6" s="28" customFormat="1" x14ac:dyDescent="0.25">
      <c r="A96" s="210"/>
      <c r="B96" s="152"/>
      <c r="C96" s="158"/>
      <c r="D96" s="157" t="s">
        <v>41</v>
      </c>
      <c r="E96" s="174">
        <v>280</v>
      </c>
      <c r="F96" s="167">
        <v>5600.8</v>
      </c>
    </row>
    <row r="97" spans="1:6" s="28" customFormat="1" x14ac:dyDescent="0.25">
      <c r="A97" s="210"/>
      <c r="B97" s="152"/>
      <c r="C97" s="158"/>
      <c r="D97" s="157" t="s">
        <v>203</v>
      </c>
      <c r="E97" s="174">
        <v>450</v>
      </c>
      <c r="F97" s="167">
        <v>9599.1</v>
      </c>
    </row>
    <row r="98" spans="1:6" s="28" customFormat="1" x14ac:dyDescent="0.25">
      <c r="A98" s="210"/>
      <c r="B98" s="153">
        <v>83</v>
      </c>
      <c r="C98" s="155" t="s">
        <v>107</v>
      </c>
      <c r="D98" s="164"/>
      <c r="E98" s="195">
        <f t="shared" ref="E98:F98" si="16">E99+E100</f>
        <v>2400</v>
      </c>
      <c r="F98" s="88">
        <f t="shared" si="16"/>
        <v>48423.8</v>
      </c>
    </row>
    <row r="99" spans="1:6" s="28" customFormat="1" x14ac:dyDescent="0.25">
      <c r="A99" s="210"/>
      <c r="B99" s="152"/>
      <c r="C99" s="158"/>
      <c r="D99" s="157" t="s">
        <v>9</v>
      </c>
      <c r="E99" s="174">
        <v>1215</v>
      </c>
      <c r="F99" s="167">
        <v>27665.5</v>
      </c>
    </row>
    <row r="100" spans="1:6" s="28" customFormat="1" x14ac:dyDescent="0.25">
      <c r="A100" s="210"/>
      <c r="B100" s="152"/>
      <c r="C100" s="158"/>
      <c r="D100" s="157" t="s">
        <v>8</v>
      </c>
      <c r="E100" s="174">
        <f>942+243</f>
        <v>1185</v>
      </c>
      <c r="F100" s="167">
        <f>15795.9+4962.4</f>
        <v>20758.3</v>
      </c>
    </row>
    <row r="101" spans="1:6" s="28" customFormat="1" x14ac:dyDescent="0.25">
      <c r="A101" s="210"/>
      <c r="B101" s="153">
        <v>188</v>
      </c>
      <c r="C101" s="155" t="s">
        <v>108</v>
      </c>
      <c r="D101" s="164"/>
      <c r="E101" s="194">
        <f t="shared" ref="E101:F101" si="17">E102+E103+E104</f>
        <v>12825</v>
      </c>
      <c r="F101" s="193">
        <f t="shared" si="17"/>
        <v>1532934.3</v>
      </c>
    </row>
    <row r="102" spans="1:6" s="28" customFormat="1" x14ac:dyDescent="0.25">
      <c r="A102" s="210"/>
      <c r="B102" s="152"/>
      <c r="C102" s="158"/>
      <c r="D102" s="157" t="s">
        <v>19</v>
      </c>
      <c r="E102" s="174">
        <v>10948</v>
      </c>
      <c r="F102" s="167">
        <f>1405843.6+11824.4</f>
        <v>1417668</v>
      </c>
    </row>
    <row r="103" spans="1:6" s="28" customFormat="1" x14ac:dyDescent="0.25">
      <c r="A103" s="210"/>
      <c r="B103" s="152"/>
      <c r="C103" s="158"/>
      <c r="D103" s="157" t="s">
        <v>418</v>
      </c>
      <c r="E103" s="174">
        <v>1280</v>
      </c>
      <c r="F103" s="167">
        <v>89940</v>
      </c>
    </row>
    <row r="104" spans="1:6" s="28" customFormat="1" x14ac:dyDescent="0.25">
      <c r="A104" s="210"/>
      <c r="B104" s="152"/>
      <c r="C104" s="158"/>
      <c r="D104" s="157" t="s">
        <v>4</v>
      </c>
      <c r="E104" s="174">
        <v>597</v>
      </c>
      <c r="F104" s="167">
        <f>37150.7-11824.4</f>
        <v>25326.299999999996</v>
      </c>
    </row>
    <row r="105" spans="1:6" s="28" customFormat="1" x14ac:dyDescent="0.25">
      <c r="A105" s="210"/>
      <c r="B105" s="153">
        <v>87</v>
      </c>
      <c r="C105" s="155" t="s">
        <v>155</v>
      </c>
      <c r="D105" s="164"/>
      <c r="E105" s="194">
        <f t="shared" ref="E105:F105" si="18">E106+E107+E108+E109+E110</f>
        <v>1739</v>
      </c>
      <c r="F105" s="193">
        <f t="shared" si="18"/>
        <v>31400</v>
      </c>
    </row>
    <row r="106" spans="1:6" s="28" customFormat="1" ht="47.25" x14ac:dyDescent="0.25">
      <c r="A106" s="210"/>
      <c r="B106" s="152"/>
      <c r="C106" s="158"/>
      <c r="D106" s="157" t="s">
        <v>138</v>
      </c>
      <c r="E106" s="174">
        <f>65+65</f>
        <v>130</v>
      </c>
      <c r="F106" s="167">
        <f>817.9+780</f>
        <v>1597.9</v>
      </c>
    </row>
    <row r="107" spans="1:6" s="28" customFormat="1" ht="31.5" x14ac:dyDescent="0.25">
      <c r="A107" s="210"/>
      <c r="B107" s="152"/>
      <c r="C107" s="158"/>
      <c r="D107" s="157" t="s">
        <v>139</v>
      </c>
      <c r="E107" s="174">
        <v>50</v>
      </c>
      <c r="F107" s="167">
        <v>336</v>
      </c>
    </row>
    <row r="108" spans="1:6" s="28" customFormat="1" x14ac:dyDescent="0.25">
      <c r="A108" s="210"/>
      <c r="B108" s="152"/>
      <c r="C108" s="158"/>
      <c r="D108" s="157" t="s">
        <v>19</v>
      </c>
      <c r="E108" s="174">
        <v>30</v>
      </c>
      <c r="F108" s="167">
        <f>212.2+1825.5</f>
        <v>2037.7</v>
      </c>
    </row>
    <row r="109" spans="1:6" s="28" customFormat="1" x14ac:dyDescent="0.25">
      <c r="A109" s="210"/>
      <c r="B109" s="152"/>
      <c r="C109" s="158"/>
      <c r="D109" s="157" t="s">
        <v>7</v>
      </c>
      <c r="E109" s="174">
        <f>160+192</f>
        <v>352</v>
      </c>
      <c r="F109" s="167">
        <f>2383.4+862</f>
        <v>3245.4</v>
      </c>
    </row>
    <row r="110" spans="1:6" s="28" customFormat="1" x14ac:dyDescent="0.25">
      <c r="A110" s="210"/>
      <c r="B110" s="152"/>
      <c r="C110" s="158"/>
      <c r="D110" s="157" t="s">
        <v>8</v>
      </c>
      <c r="E110" s="174">
        <v>1177</v>
      </c>
      <c r="F110" s="167">
        <f>26008.5-1825.5</f>
        <v>24183</v>
      </c>
    </row>
    <row r="111" spans="1:6" s="28" customFormat="1" x14ac:dyDescent="0.25">
      <c r="A111" s="210"/>
      <c r="B111" s="153">
        <v>59</v>
      </c>
      <c r="C111" s="166" t="s">
        <v>134</v>
      </c>
      <c r="D111" s="164"/>
      <c r="E111" s="194">
        <f t="shared" ref="E111:F111" si="19">E112+E113+E114+E115+E116+E117+E118+E119+E120</f>
        <v>2519</v>
      </c>
      <c r="F111" s="193">
        <f t="shared" si="19"/>
        <v>82521.899999999994</v>
      </c>
    </row>
    <row r="112" spans="1:6" s="28" customFormat="1" ht="47.25" x14ac:dyDescent="0.25">
      <c r="A112" s="210"/>
      <c r="B112" s="152"/>
      <c r="C112" s="158"/>
      <c r="D112" s="157" t="s">
        <v>138</v>
      </c>
      <c r="E112" s="174">
        <v>34</v>
      </c>
      <c r="F112" s="167">
        <v>549.6</v>
      </c>
    </row>
    <row r="113" spans="1:6" s="28" customFormat="1" ht="31.5" x14ac:dyDescent="0.25">
      <c r="A113" s="210"/>
      <c r="B113" s="152"/>
      <c r="C113" s="158"/>
      <c r="D113" s="157" t="s">
        <v>139</v>
      </c>
      <c r="E113" s="174">
        <v>130</v>
      </c>
      <c r="F113" s="167">
        <v>895</v>
      </c>
    </row>
    <row r="114" spans="1:6" s="28" customFormat="1" x14ac:dyDescent="0.25">
      <c r="A114" s="210"/>
      <c r="B114" s="152"/>
      <c r="C114" s="158"/>
      <c r="D114" s="157" t="s">
        <v>19</v>
      </c>
      <c r="E114" s="174">
        <v>39</v>
      </c>
      <c r="F114" s="167">
        <f>282.6+73.3</f>
        <v>355.90000000000003</v>
      </c>
    </row>
    <row r="115" spans="1:6" s="28" customFormat="1" x14ac:dyDescent="0.25">
      <c r="A115" s="210"/>
      <c r="B115" s="152"/>
      <c r="C115" s="158"/>
      <c r="D115" s="157" t="s">
        <v>416</v>
      </c>
      <c r="E115" s="174">
        <v>239</v>
      </c>
      <c r="F115" s="167">
        <f>39029.1-6601.9</f>
        <v>32427.199999999997</v>
      </c>
    </row>
    <row r="116" spans="1:6" s="28" customFormat="1" x14ac:dyDescent="0.25">
      <c r="A116" s="210"/>
      <c r="B116" s="152"/>
      <c r="C116" s="158"/>
      <c r="D116" s="157" t="s">
        <v>417</v>
      </c>
      <c r="E116" s="174">
        <v>36</v>
      </c>
      <c r="F116" s="167">
        <v>5817.5</v>
      </c>
    </row>
    <row r="117" spans="1:6" s="28" customFormat="1" x14ac:dyDescent="0.25">
      <c r="A117" s="210"/>
      <c r="B117" s="152"/>
      <c r="C117" s="158"/>
      <c r="D117" s="157" t="s">
        <v>8</v>
      </c>
      <c r="E117" s="174">
        <f>1091-162+330</f>
        <v>1259</v>
      </c>
      <c r="F117" s="167">
        <f>21833.4+6528.6-8616+6699</f>
        <v>26445</v>
      </c>
    </row>
    <row r="118" spans="1:6" s="28" customFormat="1" x14ac:dyDescent="0.25">
      <c r="A118" s="210"/>
      <c r="B118" s="152"/>
      <c r="C118" s="158"/>
      <c r="D118" s="157" t="s">
        <v>7</v>
      </c>
      <c r="E118" s="174">
        <v>193</v>
      </c>
      <c r="F118" s="167">
        <v>4158.5</v>
      </c>
    </row>
    <row r="119" spans="1:6" s="28" customFormat="1" x14ac:dyDescent="0.25">
      <c r="A119" s="210"/>
      <c r="B119" s="152"/>
      <c r="C119" s="158"/>
      <c r="D119" s="157" t="s">
        <v>9</v>
      </c>
      <c r="E119" s="174">
        <f>661-330</f>
        <v>331</v>
      </c>
      <c r="F119" s="167">
        <f>13388.2-(330*20.3)</f>
        <v>6689.2000000000007</v>
      </c>
    </row>
    <row r="120" spans="1:6" s="28" customFormat="1" x14ac:dyDescent="0.25">
      <c r="A120" s="210"/>
      <c r="B120" s="152"/>
      <c r="C120" s="158"/>
      <c r="D120" s="157" t="s">
        <v>4</v>
      </c>
      <c r="E120" s="174">
        <v>258</v>
      </c>
      <c r="F120" s="167">
        <v>5184</v>
      </c>
    </row>
    <row r="121" spans="1:6" s="28" customFormat="1" x14ac:dyDescent="0.25">
      <c r="A121" s="210"/>
      <c r="B121" s="153">
        <v>63</v>
      </c>
      <c r="C121" s="155" t="s">
        <v>156</v>
      </c>
      <c r="D121" s="164"/>
      <c r="E121" s="194">
        <f>E122</f>
        <v>559</v>
      </c>
      <c r="F121" s="193">
        <f>F122</f>
        <v>15549</v>
      </c>
    </row>
    <row r="122" spans="1:6" s="28" customFormat="1" x14ac:dyDescent="0.25">
      <c r="A122" s="210"/>
      <c r="B122" s="152"/>
      <c r="C122" s="158"/>
      <c r="D122" s="157" t="s">
        <v>8</v>
      </c>
      <c r="E122" s="174">
        <f>597-38</f>
        <v>559</v>
      </c>
      <c r="F122" s="167">
        <v>15549</v>
      </c>
    </row>
    <row r="123" spans="1:6" s="28" customFormat="1" x14ac:dyDescent="0.25">
      <c r="A123" s="210"/>
      <c r="B123" s="153">
        <v>65</v>
      </c>
      <c r="C123" s="155" t="s">
        <v>157</v>
      </c>
      <c r="D123" s="164"/>
      <c r="E123" s="194">
        <f>SUM(E124:E126)</f>
        <v>989</v>
      </c>
      <c r="F123" s="193">
        <f>SUM(F124:F126)</f>
        <v>26414.799999999999</v>
      </c>
    </row>
    <row r="124" spans="1:6" s="28" customFormat="1" ht="31.5" x14ac:dyDescent="0.25">
      <c r="A124" s="210"/>
      <c r="B124" s="152"/>
      <c r="C124" s="158"/>
      <c r="D124" s="157" t="s">
        <v>139</v>
      </c>
      <c r="E124" s="174">
        <v>44</v>
      </c>
      <c r="F124" s="167">
        <v>435.9</v>
      </c>
    </row>
    <row r="125" spans="1:6" s="28" customFormat="1" x14ac:dyDescent="0.25">
      <c r="A125" s="210"/>
      <c r="B125" s="152"/>
      <c r="C125" s="158"/>
      <c r="D125" s="157" t="s">
        <v>8</v>
      </c>
      <c r="E125" s="174">
        <f>832+97</f>
        <v>929</v>
      </c>
      <c r="F125" s="167">
        <f>23077.1+2590.7</f>
        <v>25667.8</v>
      </c>
    </row>
    <row r="126" spans="1:6" s="28" customFormat="1" x14ac:dyDescent="0.25">
      <c r="A126" s="210"/>
      <c r="B126" s="152"/>
      <c r="C126" s="158"/>
      <c r="D126" s="157" t="s">
        <v>7</v>
      </c>
      <c r="E126" s="174">
        <v>16</v>
      </c>
      <c r="F126" s="167">
        <v>311.10000000000002</v>
      </c>
    </row>
    <row r="127" spans="1:6" s="28" customFormat="1" x14ac:dyDescent="0.25">
      <c r="A127" s="210"/>
      <c r="B127" s="153">
        <v>67</v>
      </c>
      <c r="C127" s="155" t="s">
        <v>158</v>
      </c>
      <c r="D127" s="164"/>
      <c r="E127" s="194">
        <f>SUM(E128:E130)</f>
        <v>629</v>
      </c>
      <c r="F127" s="193">
        <f>SUM(F128:F130)</f>
        <v>12373.1</v>
      </c>
    </row>
    <row r="128" spans="1:6" s="28" customFormat="1" ht="31.5" x14ac:dyDescent="0.25">
      <c r="A128" s="210"/>
      <c r="B128" s="152"/>
      <c r="C128" s="158"/>
      <c r="D128" s="157" t="s">
        <v>139</v>
      </c>
      <c r="E128" s="174">
        <v>8</v>
      </c>
      <c r="F128" s="167">
        <v>55.8</v>
      </c>
    </row>
    <row r="129" spans="1:6" s="28" customFormat="1" x14ac:dyDescent="0.25">
      <c r="A129" s="210"/>
      <c r="B129" s="152"/>
      <c r="C129" s="158"/>
      <c r="D129" s="157" t="s">
        <v>8</v>
      </c>
      <c r="E129" s="174">
        <f>601-56-2</f>
        <v>543</v>
      </c>
      <c r="F129" s="167">
        <f>11851.1-1104.5-133+88.1</f>
        <v>10701.7</v>
      </c>
    </row>
    <row r="130" spans="1:6" s="28" customFormat="1" x14ac:dyDescent="0.25">
      <c r="A130" s="210"/>
      <c r="B130" s="152"/>
      <c r="C130" s="158"/>
      <c r="D130" s="157" t="s">
        <v>4</v>
      </c>
      <c r="E130" s="174">
        <v>78</v>
      </c>
      <c r="F130" s="167">
        <v>1615.6</v>
      </c>
    </row>
    <row r="131" spans="1:6" s="28" customFormat="1" x14ac:dyDescent="0.25">
      <c r="A131" s="210"/>
      <c r="B131" s="153">
        <v>69</v>
      </c>
      <c r="C131" s="155" t="s">
        <v>95</v>
      </c>
      <c r="D131" s="164"/>
      <c r="E131" s="194">
        <f t="shared" ref="E131:F131" si="20">E132+E133</f>
        <v>1405</v>
      </c>
      <c r="F131" s="193">
        <f t="shared" si="20"/>
        <v>41728.400000000001</v>
      </c>
    </row>
    <row r="132" spans="1:6" s="28" customFormat="1" x14ac:dyDescent="0.25">
      <c r="A132" s="210"/>
      <c r="B132" s="152"/>
      <c r="C132" s="158"/>
      <c r="D132" s="157" t="s">
        <v>8</v>
      </c>
      <c r="E132" s="174">
        <f>1400-40</f>
        <v>1360</v>
      </c>
      <c r="F132" s="167">
        <v>41311.9</v>
      </c>
    </row>
    <row r="133" spans="1:6" s="28" customFormat="1" ht="31.5" x14ac:dyDescent="0.25">
      <c r="A133" s="210"/>
      <c r="B133" s="152"/>
      <c r="C133" s="158"/>
      <c r="D133" s="157" t="s">
        <v>139</v>
      </c>
      <c r="E133" s="174">
        <v>45</v>
      </c>
      <c r="F133" s="167">
        <v>416.5</v>
      </c>
    </row>
    <row r="134" spans="1:6" s="28" customFormat="1" x14ac:dyDescent="0.25">
      <c r="A134" s="210"/>
      <c r="B134" s="153">
        <v>232</v>
      </c>
      <c r="C134" s="155" t="s">
        <v>159</v>
      </c>
      <c r="D134" s="164"/>
      <c r="E134" s="194">
        <f t="shared" ref="E134:F134" si="21">E135</f>
        <v>1005</v>
      </c>
      <c r="F134" s="193">
        <f t="shared" si="21"/>
        <v>18740.8</v>
      </c>
    </row>
    <row r="135" spans="1:6" s="28" customFormat="1" x14ac:dyDescent="0.25">
      <c r="A135" s="210"/>
      <c r="B135" s="152"/>
      <c r="C135" s="158"/>
      <c r="D135" s="157" t="s">
        <v>8</v>
      </c>
      <c r="E135" s="174">
        <v>1005</v>
      </c>
      <c r="F135" s="167">
        <v>18740.8</v>
      </c>
    </row>
    <row r="136" spans="1:6" s="28" customFormat="1" x14ac:dyDescent="0.25">
      <c r="A136" s="210"/>
      <c r="B136" s="153">
        <v>75</v>
      </c>
      <c r="C136" s="155" t="s">
        <v>160</v>
      </c>
      <c r="D136" s="164"/>
      <c r="E136" s="194">
        <f t="shared" ref="E136:F136" si="22">E137+E138+E139+E140+E141+E142+E143+E144</f>
        <v>1025</v>
      </c>
      <c r="F136" s="193">
        <f t="shared" si="22"/>
        <v>24884.300000000003</v>
      </c>
    </row>
    <row r="137" spans="1:6" s="28" customFormat="1" ht="47.25" x14ac:dyDescent="0.25">
      <c r="A137" s="210"/>
      <c r="B137" s="152"/>
      <c r="C137" s="158"/>
      <c r="D137" s="157" t="s">
        <v>138</v>
      </c>
      <c r="E137" s="174">
        <v>89</v>
      </c>
      <c r="F137" s="167">
        <v>1519.7</v>
      </c>
    </row>
    <row r="138" spans="1:6" s="28" customFormat="1" ht="31.5" x14ac:dyDescent="0.25">
      <c r="A138" s="210"/>
      <c r="B138" s="152"/>
      <c r="C138" s="158"/>
      <c r="D138" s="157" t="s">
        <v>139</v>
      </c>
      <c r="E138" s="174">
        <v>19</v>
      </c>
      <c r="F138" s="167">
        <v>169</v>
      </c>
    </row>
    <row r="139" spans="1:6" s="28" customFormat="1" x14ac:dyDescent="0.25">
      <c r="A139" s="210"/>
      <c r="B139" s="152"/>
      <c r="C139" s="158"/>
      <c r="D139" s="157" t="s">
        <v>9</v>
      </c>
      <c r="E139" s="174">
        <v>127</v>
      </c>
      <c r="F139" s="167">
        <v>3187.4</v>
      </c>
    </row>
    <row r="140" spans="1:6" s="28" customFormat="1" x14ac:dyDescent="0.25">
      <c r="A140" s="210"/>
      <c r="B140" s="152"/>
      <c r="C140" s="158"/>
      <c r="D140" s="157" t="s">
        <v>7</v>
      </c>
      <c r="E140" s="174">
        <v>42</v>
      </c>
      <c r="F140" s="167">
        <v>958.1</v>
      </c>
    </row>
    <row r="141" spans="1:6" s="28" customFormat="1" x14ac:dyDescent="0.25">
      <c r="A141" s="210"/>
      <c r="B141" s="152"/>
      <c r="C141" s="158"/>
      <c r="D141" s="157" t="s">
        <v>8</v>
      </c>
      <c r="E141" s="174">
        <v>638</v>
      </c>
      <c r="F141" s="167">
        <v>15869.6</v>
      </c>
    </row>
    <row r="142" spans="1:6" s="28" customFormat="1" x14ac:dyDescent="0.25">
      <c r="A142" s="210"/>
      <c r="B142" s="152"/>
      <c r="C142" s="158"/>
      <c r="D142" s="157" t="s">
        <v>4</v>
      </c>
      <c r="E142" s="174">
        <v>14</v>
      </c>
      <c r="F142" s="167">
        <v>362.3</v>
      </c>
    </row>
    <row r="143" spans="1:6" s="28" customFormat="1" x14ac:dyDescent="0.25">
      <c r="A143" s="210"/>
      <c r="B143" s="152"/>
      <c r="C143" s="158"/>
      <c r="D143" s="157" t="s">
        <v>5</v>
      </c>
      <c r="E143" s="174">
        <v>59</v>
      </c>
      <c r="F143" s="167">
        <v>1797.7</v>
      </c>
    </row>
    <row r="144" spans="1:6" s="28" customFormat="1" x14ac:dyDescent="0.25">
      <c r="A144" s="210"/>
      <c r="B144" s="152"/>
      <c r="C144" s="158"/>
      <c r="D144" s="157" t="s">
        <v>13</v>
      </c>
      <c r="E144" s="174">
        <v>37</v>
      </c>
      <c r="F144" s="167">
        <v>1020.5</v>
      </c>
    </row>
    <row r="145" spans="1:6" s="28" customFormat="1" x14ac:dyDescent="0.25">
      <c r="A145" s="210"/>
      <c r="B145" s="153">
        <v>140</v>
      </c>
      <c r="C145" s="155" t="s">
        <v>495</v>
      </c>
      <c r="D145" s="164"/>
      <c r="E145" s="194">
        <f t="shared" ref="E145:F145" si="23">E146+E147</f>
        <v>1517</v>
      </c>
      <c r="F145" s="193">
        <f t="shared" si="23"/>
        <v>33622.1</v>
      </c>
    </row>
    <row r="146" spans="1:6" s="28" customFormat="1" x14ac:dyDescent="0.25">
      <c r="A146" s="210"/>
      <c r="B146" s="152"/>
      <c r="C146" s="158"/>
      <c r="D146" s="157" t="s">
        <v>7</v>
      </c>
      <c r="E146" s="174">
        <f>700-333</f>
        <v>367</v>
      </c>
      <c r="F146" s="167">
        <f>18858.8-9524.7</f>
        <v>9334.0999999999985</v>
      </c>
    </row>
    <row r="147" spans="1:6" s="28" customFormat="1" x14ac:dyDescent="0.25">
      <c r="A147" s="210"/>
      <c r="B147" s="152"/>
      <c r="C147" s="158"/>
      <c r="D147" s="157" t="s">
        <v>8</v>
      </c>
      <c r="E147" s="174">
        <v>1150</v>
      </c>
      <c r="F147" s="167">
        <v>24288</v>
      </c>
    </row>
    <row r="148" spans="1:6" s="28" customFormat="1" x14ac:dyDescent="0.25">
      <c r="A148" s="210"/>
      <c r="B148" s="153">
        <v>49</v>
      </c>
      <c r="C148" s="155" t="s">
        <v>99</v>
      </c>
      <c r="D148" s="164"/>
      <c r="E148" s="194">
        <f>E149</f>
        <v>750</v>
      </c>
      <c r="F148" s="193">
        <f>F149</f>
        <v>14167.2</v>
      </c>
    </row>
    <row r="149" spans="1:6" s="28" customFormat="1" x14ac:dyDescent="0.25">
      <c r="A149" s="210"/>
      <c r="B149" s="152"/>
      <c r="C149" s="158"/>
      <c r="D149" s="157" t="s">
        <v>8</v>
      </c>
      <c r="E149" s="174">
        <f>700+50</f>
        <v>750</v>
      </c>
      <c r="F149" s="167">
        <v>14167.2</v>
      </c>
    </row>
    <row r="150" spans="1:6" s="28" customFormat="1" x14ac:dyDescent="0.25">
      <c r="A150" s="210"/>
      <c r="B150" s="153">
        <v>203</v>
      </c>
      <c r="C150" s="155" t="s">
        <v>102</v>
      </c>
      <c r="D150" s="164"/>
      <c r="E150" s="194">
        <f t="shared" ref="E150:F150" si="24">E151+E152+E153+E154</f>
        <v>625</v>
      </c>
      <c r="F150" s="193">
        <f t="shared" si="24"/>
        <v>16528.099999999999</v>
      </c>
    </row>
    <row r="151" spans="1:6" s="28" customFormat="1" ht="31.5" x14ac:dyDescent="0.25">
      <c r="A151" s="210"/>
      <c r="B151" s="152"/>
      <c r="C151" s="158"/>
      <c r="D151" s="157" t="s">
        <v>419</v>
      </c>
      <c r="E151" s="174">
        <v>30</v>
      </c>
      <c r="F151" s="167">
        <v>2231.2999999999997</v>
      </c>
    </row>
    <row r="152" spans="1:6" s="28" customFormat="1" x14ac:dyDescent="0.25">
      <c r="A152" s="210"/>
      <c r="B152" s="152"/>
      <c r="C152" s="158"/>
      <c r="D152" s="157" t="s">
        <v>7</v>
      </c>
      <c r="E152" s="174">
        <v>72</v>
      </c>
      <c r="F152" s="167">
        <v>1207.5999999999999</v>
      </c>
    </row>
    <row r="153" spans="1:6" s="28" customFormat="1" x14ac:dyDescent="0.25">
      <c r="A153" s="210"/>
      <c r="B153" s="152"/>
      <c r="C153" s="158"/>
      <c r="D153" s="157" t="s">
        <v>8</v>
      </c>
      <c r="E153" s="174">
        <v>305</v>
      </c>
      <c r="F153" s="167">
        <v>8284</v>
      </c>
    </row>
    <row r="154" spans="1:6" s="28" customFormat="1" x14ac:dyDescent="0.25">
      <c r="A154" s="210"/>
      <c r="B154" s="152"/>
      <c r="C154" s="158"/>
      <c r="D154" s="157" t="s">
        <v>9</v>
      </c>
      <c r="E154" s="174">
        <v>218</v>
      </c>
      <c r="F154" s="167">
        <v>4805.2</v>
      </c>
    </row>
    <row r="155" spans="1:6" s="28" customFormat="1" x14ac:dyDescent="0.25">
      <c r="A155" s="210"/>
      <c r="B155" s="153">
        <v>79</v>
      </c>
      <c r="C155" s="155" t="s">
        <v>103</v>
      </c>
      <c r="D155" s="164"/>
      <c r="E155" s="194">
        <f>E156+E157</f>
        <v>437</v>
      </c>
      <c r="F155" s="193">
        <f>F156+F157</f>
        <v>8356.5</v>
      </c>
    </row>
    <row r="156" spans="1:6" s="28" customFormat="1" ht="31.5" x14ac:dyDescent="0.25">
      <c r="A156" s="210"/>
      <c r="B156" s="152"/>
      <c r="C156" s="158"/>
      <c r="D156" s="157" t="s">
        <v>139</v>
      </c>
      <c r="E156" s="174">
        <v>33</v>
      </c>
      <c r="F156" s="167">
        <v>225.4</v>
      </c>
    </row>
    <row r="157" spans="1:6" s="28" customFormat="1" x14ac:dyDescent="0.25">
      <c r="A157" s="210"/>
      <c r="B157" s="152"/>
      <c r="C157" s="158"/>
      <c r="D157" s="157" t="s">
        <v>8</v>
      </c>
      <c r="E157" s="174">
        <v>404</v>
      </c>
      <c r="F157" s="167">
        <v>8131.1</v>
      </c>
    </row>
    <row r="158" spans="1:6" s="28" customFormat="1" x14ac:dyDescent="0.25">
      <c r="A158" s="210"/>
      <c r="B158" s="153">
        <v>13</v>
      </c>
      <c r="C158" s="155" t="s">
        <v>161</v>
      </c>
      <c r="D158" s="164"/>
      <c r="E158" s="194">
        <f t="shared" ref="E158:F158" si="25">E159+E160+E161</f>
        <v>914</v>
      </c>
      <c r="F158" s="193">
        <f t="shared" si="25"/>
        <v>18076.099999999999</v>
      </c>
    </row>
    <row r="159" spans="1:6" s="28" customFormat="1" x14ac:dyDescent="0.25">
      <c r="A159" s="210"/>
      <c r="B159" s="152"/>
      <c r="C159" s="158"/>
      <c r="D159" s="157" t="s">
        <v>9</v>
      </c>
      <c r="E159" s="174">
        <v>285</v>
      </c>
      <c r="F159" s="167">
        <v>9617</v>
      </c>
    </row>
    <row r="160" spans="1:6" s="28" customFormat="1" x14ac:dyDescent="0.25">
      <c r="A160" s="210"/>
      <c r="B160" s="152"/>
      <c r="C160" s="158"/>
      <c r="D160" s="157" t="s">
        <v>7</v>
      </c>
      <c r="E160" s="174">
        <f>200+139</f>
        <v>339</v>
      </c>
      <c r="F160" s="167">
        <f>2190.4+2767.7</f>
        <v>4958.1000000000004</v>
      </c>
    </row>
    <row r="161" spans="1:6" s="28" customFormat="1" x14ac:dyDescent="0.25">
      <c r="A161" s="210"/>
      <c r="B161" s="152"/>
      <c r="C161" s="158"/>
      <c r="D161" s="157" t="s">
        <v>8</v>
      </c>
      <c r="E161" s="174">
        <v>290</v>
      </c>
      <c r="F161" s="167">
        <v>3501</v>
      </c>
    </row>
    <row r="162" spans="1:6" s="28" customFormat="1" x14ac:dyDescent="0.25">
      <c r="A162" s="210"/>
      <c r="B162" s="153">
        <v>81</v>
      </c>
      <c r="C162" s="155" t="s">
        <v>106</v>
      </c>
      <c r="D162" s="164"/>
      <c r="E162" s="194">
        <f t="shared" ref="E162:F162" si="26">E163+E164</f>
        <v>276</v>
      </c>
      <c r="F162" s="193">
        <f t="shared" si="26"/>
        <v>10086.1</v>
      </c>
    </row>
    <row r="163" spans="1:6" s="28" customFormat="1" ht="31.5" x14ac:dyDescent="0.25">
      <c r="A163" s="210"/>
      <c r="B163" s="152"/>
      <c r="C163" s="158"/>
      <c r="D163" s="157" t="s">
        <v>419</v>
      </c>
      <c r="E163" s="174">
        <v>18</v>
      </c>
      <c r="F163" s="167">
        <v>1979.4</v>
      </c>
    </row>
    <row r="164" spans="1:6" s="28" customFormat="1" x14ac:dyDescent="0.25">
      <c r="A164" s="210"/>
      <c r="B164" s="152"/>
      <c r="C164" s="158"/>
      <c r="D164" s="157" t="s">
        <v>8</v>
      </c>
      <c r="E164" s="174">
        <f>317-40-19</f>
        <v>258</v>
      </c>
      <c r="F164" s="167">
        <v>8106.7</v>
      </c>
    </row>
    <row r="165" spans="1:6" s="28" customFormat="1" x14ac:dyDescent="0.25">
      <c r="A165" s="210"/>
      <c r="B165" s="153">
        <v>85</v>
      </c>
      <c r="C165" s="155" t="s">
        <v>109</v>
      </c>
      <c r="D165" s="164"/>
      <c r="E165" s="194">
        <f t="shared" ref="E165:F165" si="27">E166+E167+E168</f>
        <v>968</v>
      </c>
      <c r="F165" s="193">
        <f t="shared" si="27"/>
        <v>27788.800000000003</v>
      </c>
    </row>
    <row r="166" spans="1:6" s="28" customFormat="1" ht="47.25" x14ac:dyDescent="0.25">
      <c r="A166" s="210"/>
      <c r="B166" s="152"/>
      <c r="C166" s="158"/>
      <c r="D166" s="157" t="s">
        <v>138</v>
      </c>
      <c r="E166" s="174">
        <v>65</v>
      </c>
      <c r="F166" s="167">
        <v>5081.9000000000005</v>
      </c>
    </row>
    <row r="167" spans="1:6" s="28" customFormat="1" x14ac:dyDescent="0.25">
      <c r="A167" s="210"/>
      <c r="B167" s="152"/>
      <c r="C167" s="158"/>
      <c r="D167" s="157" t="s">
        <v>9</v>
      </c>
      <c r="E167" s="174">
        <v>399</v>
      </c>
      <c r="F167" s="167">
        <v>7610.3</v>
      </c>
    </row>
    <row r="168" spans="1:6" s="28" customFormat="1" x14ac:dyDescent="0.25">
      <c r="A168" s="210"/>
      <c r="B168" s="152"/>
      <c r="C168" s="158"/>
      <c r="D168" s="157" t="s">
        <v>8</v>
      </c>
      <c r="E168" s="174">
        <f>404+100</f>
        <v>504</v>
      </c>
      <c r="F168" s="167">
        <f>12213.2+2883.4</f>
        <v>15096.6</v>
      </c>
    </row>
    <row r="169" spans="1:6" s="28" customFormat="1" x14ac:dyDescent="0.25">
      <c r="A169" s="210"/>
      <c r="B169" s="153">
        <v>26</v>
      </c>
      <c r="C169" s="155" t="s">
        <v>162</v>
      </c>
      <c r="D169" s="164"/>
      <c r="E169" s="194">
        <f t="shared" ref="E169:F169" si="28">E170</f>
        <v>334</v>
      </c>
      <c r="F169" s="193">
        <f t="shared" si="28"/>
        <v>11067.8</v>
      </c>
    </row>
    <row r="170" spans="1:6" s="28" customFormat="1" x14ac:dyDescent="0.25">
      <c r="A170" s="210"/>
      <c r="B170" s="152"/>
      <c r="C170" s="158"/>
      <c r="D170" s="157" t="s">
        <v>37</v>
      </c>
      <c r="E170" s="174">
        <f>263+31+40</f>
        <v>334</v>
      </c>
      <c r="F170" s="167">
        <f>7567.8+1000+2500</f>
        <v>11067.8</v>
      </c>
    </row>
    <row r="171" spans="1:6" s="28" customFormat="1" x14ac:dyDescent="0.25">
      <c r="A171" s="210"/>
      <c r="B171" s="153">
        <v>465</v>
      </c>
      <c r="C171" s="155" t="s">
        <v>170</v>
      </c>
      <c r="D171" s="164"/>
      <c r="E171" s="194">
        <f t="shared" ref="E171:F171" si="29">E172</f>
        <v>358</v>
      </c>
      <c r="F171" s="193">
        <f t="shared" si="29"/>
        <v>26583.199999999997</v>
      </c>
    </row>
    <row r="172" spans="1:6" s="28" customFormat="1" x14ac:dyDescent="0.25">
      <c r="A172" s="210"/>
      <c r="B172" s="154"/>
      <c r="C172" s="160"/>
      <c r="D172" s="157" t="s">
        <v>19</v>
      </c>
      <c r="E172" s="174">
        <f>380-22</f>
        <v>358</v>
      </c>
      <c r="F172" s="167">
        <f>33488.1-1926.7-4978.2</f>
        <v>26583.199999999997</v>
      </c>
    </row>
    <row r="173" spans="1:6" s="28" customFormat="1" x14ac:dyDescent="0.25">
      <c r="A173" s="210"/>
      <c r="B173" s="153">
        <v>466</v>
      </c>
      <c r="C173" s="155" t="s">
        <v>86</v>
      </c>
      <c r="D173" s="164"/>
      <c r="E173" s="194">
        <f t="shared" ref="E173:F173" si="30">E174</f>
        <v>188</v>
      </c>
      <c r="F173" s="193">
        <f t="shared" si="30"/>
        <v>7222.2999999999984</v>
      </c>
    </row>
    <row r="174" spans="1:6" s="28" customFormat="1" x14ac:dyDescent="0.25">
      <c r="A174" s="210"/>
      <c r="B174" s="152"/>
      <c r="C174" s="158"/>
      <c r="D174" s="157" t="s">
        <v>16</v>
      </c>
      <c r="E174" s="174">
        <f>340-90-62</f>
        <v>188</v>
      </c>
      <c r="F174" s="167">
        <f>13077.8-3456.7-2398.8</f>
        <v>7222.2999999999984</v>
      </c>
    </row>
    <row r="175" spans="1:6" s="28" customFormat="1" x14ac:dyDescent="0.25">
      <c r="A175" s="210"/>
      <c r="B175" s="153">
        <v>354</v>
      </c>
      <c r="C175" s="155" t="s">
        <v>171</v>
      </c>
      <c r="D175" s="164"/>
      <c r="E175" s="194">
        <f>E176+E177+E179+E180+E181+E178</f>
        <v>1729</v>
      </c>
      <c r="F175" s="193">
        <f>F176+F177+F179+F180+F181+F178</f>
        <v>36010.6</v>
      </c>
    </row>
    <row r="176" spans="1:6" s="28" customFormat="1" ht="47.25" x14ac:dyDescent="0.25">
      <c r="A176" s="210"/>
      <c r="B176" s="153"/>
      <c r="C176" s="161"/>
      <c r="D176" s="157" t="s">
        <v>138</v>
      </c>
      <c r="E176" s="174">
        <v>250</v>
      </c>
      <c r="F176" s="167">
        <v>3637.8</v>
      </c>
    </row>
    <row r="177" spans="1:25" s="28" customFormat="1" ht="31.5" x14ac:dyDescent="0.25">
      <c r="A177" s="210"/>
      <c r="B177" s="153"/>
      <c r="C177" s="161"/>
      <c r="D177" s="157" t="s">
        <v>139</v>
      </c>
      <c r="E177" s="174">
        <v>37</v>
      </c>
      <c r="F177" s="167">
        <v>252.9</v>
      </c>
    </row>
    <row r="178" spans="1:25" s="28" customFormat="1" x14ac:dyDescent="0.25">
      <c r="A178" s="210"/>
      <c r="B178" s="153"/>
      <c r="C178" s="161"/>
      <c r="D178" s="157" t="s">
        <v>19</v>
      </c>
      <c r="E178" s="174">
        <v>50</v>
      </c>
      <c r="F178" s="167">
        <f>2538+264</f>
        <v>2802</v>
      </c>
    </row>
    <row r="179" spans="1:25" s="28" customFormat="1" x14ac:dyDescent="0.25">
      <c r="A179" s="210"/>
      <c r="B179" s="153"/>
      <c r="C179" s="161"/>
      <c r="D179" s="157" t="s">
        <v>37</v>
      </c>
      <c r="E179" s="174">
        <v>390</v>
      </c>
      <c r="F179" s="167">
        <v>8679.1</v>
      </c>
    </row>
    <row r="180" spans="1:25" s="28" customFormat="1" x14ac:dyDescent="0.25">
      <c r="A180" s="210"/>
      <c r="B180" s="153"/>
      <c r="C180" s="161"/>
      <c r="D180" s="157" t="s">
        <v>8</v>
      </c>
      <c r="E180" s="174">
        <v>612</v>
      </c>
      <c r="F180" s="167">
        <v>12711.6</v>
      </c>
    </row>
    <row r="181" spans="1:25" s="29" customFormat="1" x14ac:dyDescent="0.25">
      <c r="A181" s="210"/>
      <c r="B181" s="153"/>
      <c r="C181" s="161"/>
      <c r="D181" s="157" t="s">
        <v>4</v>
      </c>
      <c r="E181" s="174">
        <v>390</v>
      </c>
      <c r="F181" s="167">
        <v>7927.2</v>
      </c>
    </row>
    <row r="182" spans="1:25" s="24" customFormat="1" x14ac:dyDescent="0.25">
      <c r="A182" s="210"/>
      <c r="B182" s="153">
        <v>463</v>
      </c>
      <c r="C182" s="155" t="s">
        <v>231</v>
      </c>
      <c r="D182" s="164"/>
      <c r="E182" s="194">
        <f>E183</f>
        <v>700</v>
      </c>
      <c r="F182" s="193">
        <f>F183</f>
        <v>26721</v>
      </c>
    </row>
    <row r="183" spans="1:25" x14ac:dyDescent="0.25">
      <c r="A183" s="210"/>
      <c r="B183" s="153"/>
      <c r="C183" s="161"/>
      <c r="D183" s="162" t="s">
        <v>196</v>
      </c>
      <c r="E183" s="174">
        <f>350+350</f>
        <v>700</v>
      </c>
      <c r="F183" s="167">
        <f>13284.5+13436.5</f>
        <v>26721</v>
      </c>
      <c r="K183" s="23"/>
      <c r="U183" s="23"/>
      <c r="V183" s="23"/>
      <c r="W183" s="23"/>
      <c r="X183" s="23"/>
      <c r="Y183" s="23"/>
    </row>
    <row r="184" spans="1:25" x14ac:dyDescent="0.25">
      <c r="A184" s="210"/>
      <c r="B184" s="153">
        <v>431</v>
      </c>
      <c r="C184" s="155" t="s">
        <v>163</v>
      </c>
      <c r="D184" s="164"/>
      <c r="E184" s="194">
        <f>E185</f>
        <v>58</v>
      </c>
      <c r="F184" s="193">
        <f>F185</f>
        <v>2776.9</v>
      </c>
      <c r="K184" s="23"/>
      <c r="U184" s="23"/>
      <c r="V184" s="23"/>
      <c r="W184" s="23"/>
      <c r="X184" s="23"/>
      <c r="Y184" s="23"/>
    </row>
    <row r="185" spans="1:25" ht="31.5" x14ac:dyDescent="0.25">
      <c r="A185" s="210"/>
      <c r="B185" s="152"/>
      <c r="C185" s="158"/>
      <c r="D185" s="212" t="s">
        <v>137</v>
      </c>
      <c r="E185" s="175">
        <v>58</v>
      </c>
      <c r="F185" s="173">
        <v>2776.9</v>
      </c>
      <c r="K185" s="23"/>
      <c r="U185" s="23"/>
      <c r="V185" s="23"/>
      <c r="W185" s="23"/>
      <c r="X185" s="23"/>
      <c r="Y185" s="23"/>
    </row>
    <row r="186" spans="1:25" x14ac:dyDescent="0.25">
      <c r="A186" s="210"/>
      <c r="B186" s="153">
        <v>425</v>
      </c>
      <c r="C186" s="214" t="s">
        <v>164</v>
      </c>
      <c r="D186" s="215"/>
      <c r="E186" s="211">
        <f t="shared" ref="E186:F186" si="31">E187</f>
        <v>44</v>
      </c>
      <c r="F186" s="193">
        <f t="shared" si="31"/>
        <v>9931.2999999999993</v>
      </c>
      <c r="K186" s="23"/>
      <c r="U186" s="23"/>
      <c r="V186" s="23"/>
      <c r="W186" s="23"/>
      <c r="X186" s="23"/>
      <c r="Y186" s="23"/>
    </row>
    <row r="187" spans="1:25" x14ac:dyDescent="0.25">
      <c r="A187" s="210"/>
      <c r="B187" s="152"/>
      <c r="C187" s="216"/>
      <c r="D187" s="157" t="s">
        <v>19</v>
      </c>
      <c r="E187" s="213">
        <f>47-3</f>
        <v>44</v>
      </c>
      <c r="F187" s="167">
        <f>9276.5+654.8</f>
        <v>9931.2999999999993</v>
      </c>
      <c r="K187" s="23"/>
      <c r="U187" s="23"/>
      <c r="V187" s="23"/>
      <c r="W187" s="23"/>
      <c r="X187" s="23"/>
      <c r="Y187" s="23"/>
    </row>
    <row r="188" spans="1:25" x14ac:dyDescent="0.25">
      <c r="A188" s="210"/>
      <c r="B188" s="153">
        <v>387</v>
      </c>
      <c r="C188" s="155" t="s">
        <v>68</v>
      </c>
      <c r="D188" s="164"/>
      <c r="E188" s="194">
        <f>E189</f>
        <v>764</v>
      </c>
      <c r="F188" s="193">
        <f>F189</f>
        <v>34995.1</v>
      </c>
      <c r="K188" s="23"/>
      <c r="U188" s="23"/>
      <c r="V188" s="23"/>
      <c r="W188" s="23"/>
      <c r="X188" s="23"/>
      <c r="Y188" s="23"/>
    </row>
    <row r="189" spans="1:25" ht="31.5" customHeight="1" x14ac:dyDescent="0.25">
      <c r="A189" s="210"/>
      <c r="B189" s="152"/>
      <c r="C189" s="158"/>
      <c r="D189" s="157" t="s">
        <v>25</v>
      </c>
      <c r="E189" s="174">
        <v>764</v>
      </c>
      <c r="F189" s="167">
        <v>34995.1</v>
      </c>
      <c r="K189" s="23"/>
      <c r="U189" s="23"/>
      <c r="V189" s="23"/>
      <c r="W189" s="23"/>
      <c r="X189" s="23"/>
      <c r="Y189" s="23"/>
    </row>
    <row r="190" spans="1:25" x14ac:dyDescent="0.25">
      <c r="A190" s="210"/>
      <c r="B190" s="153">
        <v>450</v>
      </c>
      <c r="C190" s="155" t="s">
        <v>165</v>
      </c>
      <c r="D190" s="164"/>
      <c r="E190" s="194">
        <f>E191</f>
        <v>87</v>
      </c>
      <c r="F190" s="193">
        <f>F191</f>
        <v>4128.5</v>
      </c>
      <c r="K190" s="23"/>
      <c r="U190" s="23"/>
      <c r="V190" s="23"/>
      <c r="W190" s="23"/>
      <c r="X190" s="23"/>
      <c r="Y190" s="23"/>
    </row>
    <row r="191" spans="1:25" ht="31.5" customHeight="1" x14ac:dyDescent="0.25">
      <c r="A191" s="210"/>
      <c r="B191" s="152"/>
      <c r="C191" s="158"/>
      <c r="D191" s="212" t="s">
        <v>137</v>
      </c>
      <c r="E191" s="174">
        <v>87</v>
      </c>
      <c r="F191" s="167">
        <v>4128.5</v>
      </c>
      <c r="K191" s="23"/>
      <c r="U191" s="23"/>
      <c r="V191" s="23"/>
      <c r="W191" s="23"/>
      <c r="X191" s="23"/>
      <c r="Y191" s="23"/>
    </row>
    <row r="192" spans="1:25" ht="31.5" customHeight="1" x14ac:dyDescent="0.25">
      <c r="A192" s="210"/>
      <c r="B192" s="153">
        <v>294</v>
      </c>
      <c r="C192" s="155" t="s">
        <v>166</v>
      </c>
      <c r="D192" s="164"/>
      <c r="E192" s="194">
        <f t="shared" ref="E192:F192" si="32">E193</f>
        <v>32</v>
      </c>
      <c r="F192" s="193">
        <f t="shared" si="32"/>
        <v>791.9</v>
      </c>
      <c r="K192" s="23"/>
      <c r="U192" s="23"/>
      <c r="V192" s="23"/>
      <c r="W192" s="23"/>
      <c r="X192" s="23"/>
      <c r="Y192" s="23"/>
    </row>
    <row r="193" spans="1:25" ht="18" customHeight="1" x14ac:dyDescent="0.25">
      <c r="A193" s="210"/>
      <c r="B193" s="152"/>
      <c r="C193" s="158"/>
      <c r="D193" s="157" t="s">
        <v>8</v>
      </c>
      <c r="E193" s="174">
        <f>17+15</f>
        <v>32</v>
      </c>
      <c r="F193" s="167">
        <f>420.7+371.2</f>
        <v>791.9</v>
      </c>
      <c r="K193" s="23"/>
      <c r="U193" s="23"/>
      <c r="V193" s="23"/>
      <c r="W193" s="23"/>
      <c r="X193" s="23"/>
      <c r="Y193" s="23"/>
    </row>
    <row r="194" spans="1:25" ht="22.5" customHeight="1" x14ac:dyDescent="0.25">
      <c r="A194" s="210"/>
      <c r="B194" s="153">
        <v>355</v>
      </c>
      <c r="C194" s="155" t="s">
        <v>167</v>
      </c>
      <c r="D194" s="164"/>
      <c r="E194" s="194">
        <f>E195</f>
        <v>67</v>
      </c>
      <c r="F194" s="193">
        <f>F195</f>
        <v>2962.5</v>
      </c>
      <c r="K194" s="23"/>
      <c r="U194" s="23"/>
      <c r="V194" s="23"/>
      <c r="W194" s="23"/>
      <c r="X194" s="23"/>
      <c r="Y194" s="23"/>
    </row>
    <row r="195" spans="1:25" ht="31.5" customHeight="1" x14ac:dyDescent="0.25">
      <c r="A195" s="210"/>
      <c r="B195" s="152"/>
      <c r="C195" s="158"/>
      <c r="D195" s="212" t="s">
        <v>137</v>
      </c>
      <c r="E195" s="174">
        <v>67</v>
      </c>
      <c r="F195" s="167">
        <v>2962.5</v>
      </c>
      <c r="K195" s="23"/>
      <c r="U195" s="23"/>
      <c r="V195" s="23"/>
      <c r="W195" s="23"/>
      <c r="X195" s="23"/>
      <c r="Y195" s="23"/>
    </row>
    <row r="196" spans="1:25" ht="21" customHeight="1" x14ac:dyDescent="0.25">
      <c r="A196" s="210"/>
      <c r="B196" s="153">
        <v>205</v>
      </c>
      <c r="C196" s="161" t="s">
        <v>168</v>
      </c>
      <c r="D196" s="164"/>
      <c r="E196" s="194">
        <f>E197</f>
        <v>1069</v>
      </c>
      <c r="F196" s="193">
        <f>F197</f>
        <v>23371.8</v>
      </c>
      <c r="G196" s="36"/>
      <c r="K196" s="23"/>
      <c r="U196" s="23"/>
      <c r="V196" s="23"/>
      <c r="W196" s="23"/>
      <c r="X196" s="23"/>
      <c r="Y196" s="23"/>
    </row>
    <row r="197" spans="1:25" ht="21" customHeight="1" x14ac:dyDescent="0.25">
      <c r="A197" s="210"/>
      <c r="B197" s="153"/>
      <c r="C197" s="158"/>
      <c r="D197" s="157" t="s">
        <v>144</v>
      </c>
      <c r="E197" s="175">
        <v>1069</v>
      </c>
      <c r="F197" s="173">
        <v>23371.8</v>
      </c>
      <c r="G197" s="36"/>
      <c r="K197" s="23"/>
      <c r="U197" s="23"/>
      <c r="V197" s="23"/>
      <c r="W197" s="23"/>
      <c r="X197" s="23"/>
      <c r="Y197" s="23"/>
    </row>
    <row r="198" spans="1:25" ht="18.75" customHeight="1" x14ac:dyDescent="0.25">
      <c r="A198" s="255"/>
      <c r="B198" s="153">
        <v>260</v>
      </c>
      <c r="C198" s="155" t="s">
        <v>169</v>
      </c>
      <c r="D198" s="164"/>
      <c r="E198" s="194">
        <f t="shared" ref="E198" si="33">E199</f>
        <v>60</v>
      </c>
      <c r="F198" s="193">
        <f>F199</f>
        <v>1236.5</v>
      </c>
      <c r="G198" s="172"/>
      <c r="K198" s="23"/>
      <c r="U198" s="23"/>
      <c r="V198" s="23"/>
      <c r="W198" s="23"/>
      <c r="X198" s="23"/>
      <c r="Y198" s="23"/>
    </row>
    <row r="199" spans="1:25" s="24" customFormat="1" x14ac:dyDescent="0.25">
      <c r="A199" s="165"/>
      <c r="B199" s="153"/>
      <c r="C199" s="158"/>
      <c r="D199" s="157" t="s">
        <v>4</v>
      </c>
      <c r="E199" s="35">
        <f>50+10</f>
        <v>60</v>
      </c>
      <c r="F199" s="173">
        <v>1236.5</v>
      </c>
      <c r="G199" s="32"/>
    </row>
    <row r="200" spans="1:25" s="34" customFormat="1" ht="15.75" customHeight="1" x14ac:dyDescent="0.25">
      <c r="A200" s="89"/>
      <c r="B200" s="153">
        <v>414</v>
      </c>
      <c r="C200" s="155" t="s">
        <v>172</v>
      </c>
      <c r="D200" s="164"/>
      <c r="E200" s="194">
        <f>E201</f>
        <v>150</v>
      </c>
      <c r="F200" s="193">
        <f>F201</f>
        <v>2725.1</v>
      </c>
      <c r="G200" s="20"/>
    </row>
    <row r="201" spans="1:25" s="34" customFormat="1" x14ac:dyDescent="0.25">
      <c r="A201" s="89"/>
      <c r="B201" s="153"/>
      <c r="C201" s="158"/>
      <c r="D201" s="157" t="s">
        <v>21</v>
      </c>
      <c r="E201" s="176">
        <v>150</v>
      </c>
      <c r="F201" s="176">
        <v>2725.1</v>
      </c>
      <c r="G201" s="20"/>
    </row>
    <row r="202" spans="1:25" s="34" customFormat="1" ht="17.25" customHeight="1" x14ac:dyDescent="0.25">
      <c r="A202" s="89"/>
      <c r="B202" s="256">
        <v>429</v>
      </c>
      <c r="C202" s="259" t="s">
        <v>173</v>
      </c>
      <c r="D202" s="257"/>
      <c r="E202" s="194">
        <f t="shared" ref="E202:F202" si="34">E203</f>
        <v>5</v>
      </c>
      <c r="F202" s="193">
        <f t="shared" si="34"/>
        <v>66.5</v>
      </c>
    </row>
    <row r="203" spans="1:25" s="34" customFormat="1" ht="33" customHeight="1" x14ac:dyDescent="0.25">
      <c r="A203" s="89"/>
      <c r="B203" s="256"/>
      <c r="C203" s="216"/>
      <c r="D203" s="258" t="s">
        <v>420</v>
      </c>
      <c r="E203" s="176">
        <v>5</v>
      </c>
      <c r="F203" s="176">
        <v>66.5</v>
      </c>
      <c r="G203" s="20"/>
    </row>
    <row r="204" spans="1:25" x14ac:dyDescent="0.25">
      <c r="B204" s="170"/>
      <c r="C204" s="168"/>
      <c r="D204" s="90" t="s">
        <v>43</v>
      </c>
      <c r="E204" s="194">
        <f>E10+E12+E16+E22+E24+E27+E29+E31+E40+E47+E53+E56+E58+E61+E64+E67+E69+E72+E75+E81+E93+E98+E101+E105+E111+E121+E123+E127+E131+E134+E136+E145++E148+E150+E155+E158+E162+E165+E169+E171+E173+E175+E182+E184+E186+E188+E190+E192+E194+E196+E198+E200+E202</f>
        <v>67137</v>
      </c>
      <c r="F204" s="193">
        <f>F10+F12+F16+F22+F24+F27+F29+F31+F40+F47+F53+F56+F58+F61+F64+F67+F69+F72+F75+F81+F93+F98+F101+F105+F111+F121+F123+F127+F131+F134+F136+F145++F148+F150+F155+F158+F162+F165+F169+F171+F173+F175+F182+F184+F186+F188+F190+F192+F194+F196+F198+F200+F202</f>
        <v>2915388.8999999994</v>
      </c>
      <c r="K204" s="23"/>
      <c r="U204" s="23"/>
      <c r="V204" s="23"/>
      <c r="W204" s="23"/>
      <c r="X204" s="23"/>
      <c r="Y204" s="23"/>
    </row>
    <row r="205" spans="1:25" ht="32.25" customHeight="1" x14ac:dyDescent="0.25">
      <c r="B205" s="170"/>
      <c r="C205" s="168"/>
      <c r="D205" s="91" t="s">
        <v>44</v>
      </c>
      <c r="E205" s="183">
        <f>E206-E204</f>
        <v>3546</v>
      </c>
      <c r="F205" s="31"/>
      <c r="K205" s="23"/>
      <c r="U205" s="23"/>
      <c r="V205" s="23"/>
      <c r="W205" s="23"/>
      <c r="X205" s="23"/>
      <c r="Y205" s="23"/>
    </row>
    <row r="206" spans="1:25" ht="21.75" customHeight="1" x14ac:dyDescent="0.25">
      <c r="B206" s="171"/>
      <c r="C206" s="169"/>
      <c r="D206" s="91" t="s">
        <v>45</v>
      </c>
      <c r="E206" s="183">
        <f>67954+2729</f>
        <v>70683</v>
      </c>
      <c r="F206" s="31"/>
      <c r="K206" s="23"/>
      <c r="U206" s="23"/>
      <c r="V206" s="23"/>
      <c r="W206" s="23"/>
      <c r="X206" s="23"/>
      <c r="Y206" s="23"/>
    </row>
    <row r="207" spans="1:25" x14ac:dyDescent="0.25">
      <c r="K207" s="23"/>
      <c r="U207" s="23"/>
      <c r="V207" s="23"/>
      <c r="W207" s="23"/>
      <c r="X207" s="23"/>
      <c r="Y207" s="23"/>
    </row>
    <row r="208" spans="1:25" x14ac:dyDescent="0.25">
      <c r="K208" s="23"/>
      <c r="U208" s="23"/>
      <c r="V208" s="23"/>
      <c r="W208" s="23"/>
      <c r="X208" s="23"/>
      <c r="Y208" s="23"/>
    </row>
    <row r="209" spans="2:23" ht="25.5" customHeight="1" x14ac:dyDescent="0.25">
      <c r="B209" s="439" t="s">
        <v>389</v>
      </c>
      <c r="C209" s="439"/>
      <c r="D209" s="439"/>
      <c r="E209" s="439"/>
      <c r="F209" s="439"/>
      <c r="G209" s="439"/>
      <c r="H209" s="439"/>
      <c r="I209" s="439"/>
      <c r="J209" s="439"/>
      <c r="K209" s="439"/>
      <c r="U209" s="32"/>
      <c r="V209" s="32"/>
      <c r="W209" s="177"/>
    </row>
    <row r="210" spans="2:23" ht="15.75" customHeight="1" x14ac:dyDescent="0.25">
      <c r="B210" s="32"/>
      <c r="C210" s="32"/>
      <c r="D210" s="177"/>
      <c r="G210" s="178"/>
      <c r="H210" s="24"/>
      <c r="I210" s="24"/>
      <c r="J210" s="24"/>
    </row>
    <row r="211" spans="2:23" ht="15.75" customHeight="1" x14ac:dyDescent="0.25">
      <c r="B211" s="456" t="s">
        <v>46</v>
      </c>
      <c r="C211" s="459" t="s">
        <v>113</v>
      </c>
      <c r="D211" s="460"/>
      <c r="E211" s="465" t="s">
        <v>3</v>
      </c>
      <c r="F211" s="465"/>
      <c r="G211" s="465"/>
      <c r="H211" s="465"/>
      <c r="I211" s="465"/>
      <c r="J211" s="465"/>
      <c r="K211" s="465"/>
    </row>
    <row r="212" spans="2:23" x14ac:dyDescent="0.25">
      <c r="B212" s="457"/>
      <c r="C212" s="461"/>
      <c r="D212" s="462"/>
      <c r="E212" s="182">
        <v>188</v>
      </c>
      <c r="F212" s="182">
        <v>425</v>
      </c>
      <c r="G212" s="182">
        <v>465</v>
      </c>
      <c r="H212" s="182">
        <v>115</v>
      </c>
      <c r="I212" s="182">
        <v>59</v>
      </c>
      <c r="J212" s="182">
        <v>87</v>
      </c>
      <c r="K212" s="153">
        <v>354</v>
      </c>
    </row>
    <row r="213" spans="2:23" ht="57" x14ac:dyDescent="0.25">
      <c r="B213" s="458"/>
      <c r="C213" s="463"/>
      <c r="D213" s="464"/>
      <c r="E213" s="141" t="s">
        <v>27</v>
      </c>
      <c r="F213" s="141" t="s">
        <v>56</v>
      </c>
      <c r="G213" s="141" t="s">
        <v>422</v>
      </c>
      <c r="H213" s="141" t="s">
        <v>23</v>
      </c>
      <c r="I213" s="141" t="s">
        <v>134</v>
      </c>
      <c r="J213" s="141" t="s">
        <v>155</v>
      </c>
      <c r="K213" s="236" t="s">
        <v>171</v>
      </c>
    </row>
    <row r="214" spans="2:23" ht="15.75" customHeight="1" x14ac:dyDescent="0.25">
      <c r="B214" s="179"/>
      <c r="C214" s="451" t="s">
        <v>114</v>
      </c>
      <c r="D214" s="452"/>
      <c r="E214" s="237">
        <f>E102+E103</f>
        <v>12228</v>
      </c>
      <c r="F214" s="237">
        <f>E187</f>
        <v>44</v>
      </c>
      <c r="G214" s="237">
        <f>E172</f>
        <v>358</v>
      </c>
      <c r="H214" s="237">
        <f>E86</f>
        <v>64</v>
      </c>
      <c r="I214" s="237">
        <f>E114</f>
        <v>39</v>
      </c>
      <c r="J214" s="237">
        <f>E108</f>
        <v>30</v>
      </c>
      <c r="K214" s="237">
        <f>E178</f>
        <v>50</v>
      </c>
    </row>
    <row r="215" spans="2:23" ht="15.75" customHeight="1" x14ac:dyDescent="0.25">
      <c r="B215" s="179"/>
      <c r="C215" s="453" t="s">
        <v>115</v>
      </c>
      <c r="D215" s="454"/>
      <c r="E215" s="180">
        <f>SUM(E216:E237)</f>
        <v>10733</v>
      </c>
      <c r="F215" s="180">
        <f t="shared" ref="F215:K215" si="35">SUM(F216:F237)</f>
        <v>44</v>
      </c>
      <c r="G215" s="180">
        <f t="shared" si="35"/>
        <v>350</v>
      </c>
      <c r="H215" s="180">
        <f t="shared" si="35"/>
        <v>64</v>
      </c>
      <c r="I215" s="180">
        <f t="shared" si="35"/>
        <v>39</v>
      </c>
      <c r="J215" s="180">
        <f t="shared" si="35"/>
        <v>30</v>
      </c>
      <c r="K215" s="180">
        <f t="shared" si="35"/>
        <v>50</v>
      </c>
    </row>
    <row r="216" spans="2:23" ht="24" customHeight="1" x14ac:dyDescent="0.25">
      <c r="B216" s="181" t="s">
        <v>426</v>
      </c>
      <c r="C216" s="466" t="s">
        <v>116</v>
      </c>
      <c r="D216" s="466"/>
      <c r="E216" s="182">
        <v>714</v>
      </c>
      <c r="F216" s="182">
        <v>4</v>
      </c>
      <c r="G216" s="182">
        <v>12</v>
      </c>
      <c r="H216" s="182">
        <v>64</v>
      </c>
      <c r="I216" s="182">
        <v>25</v>
      </c>
      <c r="J216" s="182"/>
      <c r="K216" s="31"/>
    </row>
    <row r="217" spans="2:23" ht="24" customHeight="1" x14ac:dyDescent="0.25">
      <c r="B217" s="181" t="s">
        <v>427</v>
      </c>
      <c r="C217" s="466" t="s">
        <v>117</v>
      </c>
      <c r="D217" s="466"/>
      <c r="E217" s="182">
        <v>708</v>
      </c>
      <c r="F217" s="182"/>
      <c r="G217" s="182">
        <v>82</v>
      </c>
      <c r="H217" s="182"/>
      <c r="I217" s="182">
        <v>14</v>
      </c>
      <c r="J217" s="182"/>
      <c r="K217" s="31"/>
    </row>
    <row r="218" spans="2:23" ht="24" customHeight="1" x14ac:dyDescent="0.25">
      <c r="B218" s="181" t="s">
        <v>428</v>
      </c>
      <c r="C218" s="466" t="s">
        <v>118</v>
      </c>
      <c r="D218" s="466"/>
      <c r="E218" s="182">
        <v>772</v>
      </c>
      <c r="F218" s="182">
        <v>2</v>
      </c>
      <c r="G218" s="182">
        <v>35</v>
      </c>
      <c r="H218" s="182"/>
      <c r="I218" s="182"/>
      <c r="J218" s="182"/>
      <c r="K218" s="31"/>
    </row>
    <row r="219" spans="2:23" ht="24" customHeight="1" x14ac:dyDescent="0.25">
      <c r="B219" s="181" t="s">
        <v>429</v>
      </c>
      <c r="C219" s="466" t="s">
        <v>121</v>
      </c>
      <c r="D219" s="466"/>
      <c r="E219" s="182">
        <v>1333</v>
      </c>
      <c r="F219" s="182"/>
      <c r="G219" s="182">
        <v>55</v>
      </c>
      <c r="H219" s="182"/>
      <c r="I219" s="182"/>
      <c r="J219" s="182"/>
      <c r="K219" s="35">
        <v>21</v>
      </c>
    </row>
    <row r="220" spans="2:23" ht="24" customHeight="1" x14ac:dyDescent="0.25">
      <c r="B220" s="181" t="s">
        <v>430</v>
      </c>
      <c r="C220" s="466" t="s">
        <v>122</v>
      </c>
      <c r="D220" s="466"/>
      <c r="E220" s="182">
        <v>772</v>
      </c>
      <c r="F220" s="182">
        <f>6-1</f>
        <v>5</v>
      </c>
      <c r="G220" s="182">
        <v>10</v>
      </c>
      <c r="H220" s="182"/>
      <c r="I220" s="182"/>
      <c r="J220" s="182"/>
      <c r="K220" s="35"/>
    </row>
    <row r="221" spans="2:23" ht="24" customHeight="1" x14ac:dyDescent="0.25">
      <c r="B221" s="181" t="s">
        <v>431</v>
      </c>
      <c r="C221" s="466" t="s">
        <v>123</v>
      </c>
      <c r="D221" s="466"/>
      <c r="E221" s="182">
        <v>940</v>
      </c>
      <c r="F221" s="182">
        <v>3</v>
      </c>
      <c r="G221" s="182">
        <v>40</v>
      </c>
      <c r="H221" s="182"/>
      <c r="I221" s="182"/>
      <c r="J221" s="182">
        <v>30</v>
      </c>
      <c r="K221" s="35">
        <v>29</v>
      </c>
    </row>
    <row r="222" spans="2:23" ht="24" customHeight="1" x14ac:dyDescent="0.25">
      <c r="B222" s="181" t="s">
        <v>432</v>
      </c>
      <c r="C222" s="466" t="s">
        <v>124</v>
      </c>
      <c r="D222" s="466"/>
      <c r="E222" s="182">
        <v>322</v>
      </c>
      <c r="F222" s="182"/>
      <c r="G222" s="182">
        <v>13</v>
      </c>
      <c r="H222" s="182"/>
      <c r="I222" s="182"/>
      <c r="J222" s="182"/>
      <c r="K222" s="31"/>
    </row>
    <row r="223" spans="2:23" ht="24" customHeight="1" x14ac:dyDescent="0.25">
      <c r="B223" s="181" t="s">
        <v>433</v>
      </c>
      <c r="C223" s="466" t="s">
        <v>119</v>
      </c>
      <c r="D223" s="466"/>
      <c r="E223" s="182">
        <v>266</v>
      </c>
      <c r="F223" s="182">
        <v>2</v>
      </c>
      <c r="G223" s="182">
        <v>29</v>
      </c>
      <c r="H223" s="182"/>
      <c r="I223" s="182"/>
      <c r="J223" s="182"/>
      <c r="K223" s="31"/>
    </row>
    <row r="224" spans="2:23" ht="24" customHeight="1" x14ac:dyDescent="0.25">
      <c r="B224" s="181" t="s">
        <v>434</v>
      </c>
      <c r="C224" s="466" t="s">
        <v>125</v>
      </c>
      <c r="D224" s="466"/>
      <c r="E224" s="182">
        <v>469</v>
      </c>
      <c r="F224" s="182">
        <v>2</v>
      </c>
      <c r="G224" s="182">
        <v>15</v>
      </c>
      <c r="H224" s="182"/>
      <c r="I224" s="182"/>
      <c r="J224" s="182"/>
      <c r="K224" s="31"/>
    </row>
    <row r="225" spans="2:11" ht="24" customHeight="1" x14ac:dyDescent="0.25">
      <c r="B225" s="181" t="s">
        <v>435</v>
      </c>
      <c r="C225" s="466" t="s">
        <v>120</v>
      </c>
      <c r="D225" s="466"/>
      <c r="E225" s="182">
        <v>641</v>
      </c>
      <c r="F225" s="182">
        <v>3</v>
      </c>
      <c r="G225" s="182">
        <v>13</v>
      </c>
      <c r="H225" s="182"/>
      <c r="I225" s="182"/>
      <c r="J225" s="182"/>
      <c r="K225" s="31"/>
    </row>
    <row r="226" spans="2:11" ht="24" customHeight="1" x14ac:dyDescent="0.25">
      <c r="B226" s="181" t="s">
        <v>436</v>
      </c>
      <c r="C226" s="466" t="s">
        <v>127</v>
      </c>
      <c r="D226" s="466"/>
      <c r="E226" s="182">
        <v>432</v>
      </c>
      <c r="F226" s="182"/>
      <c r="G226" s="182">
        <v>6</v>
      </c>
      <c r="H226" s="182"/>
      <c r="I226" s="182"/>
      <c r="J226" s="182"/>
      <c r="K226" s="31"/>
    </row>
    <row r="227" spans="2:11" ht="24" customHeight="1" x14ac:dyDescent="0.25">
      <c r="B227" s="181" t="s">
        <v>437</v>
      </c>
      <c r="C227" s="466" t="s">
        <v>131</v>
      </c>
      <c r="D227" s="466"/>
      <c r="E227" s="182">
        <v>654</v>
      </c>
      <c r="F227" s="182">
        <v>2</v>
      </c>
      <c r="G227" s="182">
        <v>1</v>
      </c>
      <c r="H227" s="182"/>
      <c r="I227" s="182"/>
      <c r="J227" s="182"/>
      <c r="K227" s="31"/>
    </row>
    <row r="228" spans="2:11" ht="24" customHeight="1" x14ac:dyDescent="0.25">
      <c r="B228" s="181" t="s">
        <v>438</v>
      </c>
      <c r="C228" s="466" t="s">
        <v>126</v>
      </c>
      <c r="D228" s="466"/>
      <c r="E228" s="182">
        <v>619</v>
      </c>
      <c r="F228" s="182">
        <f>10-1</f>
        <v>9</v>
      </c>
      <c r="G228" s="182">
        <v>9</v>
      </c>
      <c r="H228" s="182"/>
      <c r="I228" s="182"/>
      <c r="J228" s="182"/>
      <c r="K228" s="31"/>
    </row>
    <row r="229" spans="2:11" ht="24" customHeight="1" x14ac:dyDescent="0.25">
      <c r="B229" s="181" t="s">
        <v>439</v>
      </c>
      <c r="C229" s="466" t="s">
        <v>128</v>
      </c>
      <c r="D229" s="466"/>
      <c r="E229" s="182">
        <v>364</v>
      </c>
      <c r="F229" s="182">
        <f>4-1</f>
        <v>3</v>
      </c>
      <c r="G229" s="182">
        <v>16</v>
      </c>
      <c r="H229" s="182"/>
      <c r="I229" s="182"/>
      <c r="J229" s="182"/>
      <c r="K229" s="31"/>
    </row>
    <row r="230" spans="2:11" ht="24" customHeight="1" x14ac:dyDescent="0.25">
      <c r="B230" s="181" t="s">
        <v>440</v>
      </c>
      <c r="C230" s="466" t="s">
        <v>129</v>
      </c>
      <c r="D230" s="466"/>
      <c r="E230" s="182">
        <v>400</v>
      </c>
      <c r="F230" s="182">
        <v>1</v>
      </c>
      <c r="G230" s="182">
        <v>14</v>
      </c>
      <c r="H230" s="182"/>
      <c r="I230" s="182"/>
      <c r="J230" s="182"/>
      <c r="K230" s="31"/>
    </row>
    <row r="231" spans="2:11" ht="24" customHeight="1" x14ac:dyDescent="0.25">
      <c r="B231" s="181" t="s">
        <v>441</v>
      </c>
      <c r="C231" s="466" t="s">
        <v>130</v>
      </c>
      <c r="D231" s="466"/>
      <c r="E231" s="182">
        <v>613</v>
      </c>
      <c r="F231" s="182">
        <v>3</v>
      </c>
      <c r="G231" s="182"/>
      <c r="H231" s="182"/>
      <c r="I231" s="182"/>
      <c r="J231" s="182"/>
      <c r="K231" s="31"/>
    </row>
    <row r="232" spans="2:11" ht="24" customHeight="1" x14ac:dyDescent="0.25">
      <c r="B232" s="181" t="s">
        <v>442</v>
      </c>
      <c r="C232" s="466" t="s">
        <v>132</v>
      </c>
      <c r="D232" s="466"/>
      <c r="E232" s="182">
        <v>380</v>
      </c>
      <c r="F232" s="182">
        <v>5</v>
      </c>
      <c r="G232" s="182"/>
      <c r="H232" s="182"/>
      <c r="I232" s="182"/>
      <c r="J232" s="182"/>
      <c r="K232" s="31"/>
    </row>
    <row r="233" spans="2:11" ht="24" customHeight="1" x14ac:dyDescent="0.25">
      <c r="B233" s="181" t="s">
        <v>443</v>
      </c>
      <c r="C233" s="466" t="s">
        <v>174</v>
      </c>
      <c r="D233" s="466"/>
      <c r="E233" s="182">
        <v>249</v>
      </c>
      <c r="F233" s="182"/>
      <c r="G233" s="182"/>
      <c r="H233" s="182"/>
      <c r="I233" s="182"/>
      <c r="J233" s="182"/>
      <c r="K233" s="31"/>
    </row>
    <row r="234" spans="2:11" ht="24" customHeight="1" x14ac:dyDescent="0.25">
      <c r="B234" s="181" t="s">
        <v>444</v>
      </c>
      <c r="C234" s="466" t="s">
        <v>175</v>
      </c>
      <c r="D234" s="466"/>
      <c r="E234" s="182">
        <v>25</v>
      </c>
      <c r="F234" s="182"/>
      <c r="G234" s="182"/>
      <c r="H234" s="182"/>
      <c r="I234" s="182"/>
      <c r="J234" s="182"/>
      <c r="K234" s="31"/>
    </row>
    <row r="235" spans="2:11" ht="24" customHeight="1" x14ac:dyDescent="0.25">
      <c r="B235" s="181" t="s">
        <v>445</v>
      </c>
      <c r="C235" s="466" t="s">
        <v>423</v>
      </c>
      <c r="D235" s="466"/>
      <c r="E235" s="182">
        <v>10</v>
      </c>
      <c r="F235" s="182"/>
      <c r="G235" s="182"/>
      <c r="H235" s="182"/>
      <c r="I235" s="182"/>
      <c r="J235" s="182"/>
      <c r="K235" s="31"/>
    </row>
    <row r="236" spans="2:11" ht="24" customHeight="1" x14ac:dyDescent="0.25">
      <c r="B236" s="181" t="s">
        <v>446</v>
      </c>
      <c r="C236" s="466" t="s">
        <v>424</v>
      </c>
      <c r="D236" s="466"/>
      <c r="E236" s="182">
        <v>30</v>
      </c>
      <c r="F236" s="182"/>
      <c r="G236" s="182"/>
      <c r="H236" s="182"/>
      <c r="I236" s="182"/>
      <c r="J236" s="182"/>
      <c r="K236" s="31"/>
    </row>
    <row r="237" spans="2:11" ht="24" customHeight="1" x14ac:dyDescent="0.25">
      <c r="B237" s="181" t="s">
        <v>447</v>
      </c>
      <c r="C237" s="466" t="s">
        <v>425</v>
      </c>
      <c r="D237" s="466"/>
      <c r="E237" s="182">
        <v>20</v>
      </c>
      <c r="F237" s="182"/>
      <c r="G237" s="182"/>
      <c r="H237" s="182"/>
      <c r="I237" s="182"/>
      <c r="J237" s="182"/>
      <c r="K237" s="31"/>
    </row>
  </sheetData>
  <mergeCells count="29">
    <mergeCell ref="C236:D236"/>
    <mergeCell ref="C237:D237"/>
    <mergeCell ref="C231:D231"/>
    <mergeCell ref="C232:D232"/>
    <mergeCell ref="C233:D233"/>
    <mergeCell ref="C234:D234"/>
    <mergeCell ref="C235:D235"/>
    <mergeCell ref="C216:D216"/>
    <mergeCell ref="C217:D217"/>
    <mergeCell ref="C218:D218"/>
    <mergeCell ref="C229:D229"/>
    <mergeCell ref="C230:D230"/>
    <mergeCell ref="C224:D224"/>
    <mergeCell ref="C225:D225"/>
    <mergeCell ref="C226:D226"/>
    <mergeCell ref="C227:D227"/>
    <mergeCell ref="C228:D228"/>
    <mergeCell ref="C219:D219"/>
    <mergeCell ref="C220:D220"/>
    <mergeCell ref="C221:D221"/>
    <mergeCell ref="C222:D222"/>
    <mergeCell ref="C223:D223"/>
    <mergeCell ref="C214:D214"/>
    <mergeCell ref="C215:D215"/>
    <mergeCell ref="B7:F7"/>
    <mergeCell ref="B211:B213"/>
    <mergeCell ref="C211:D213"/>
    <mergeCell ref="B209:K209"/>
    <mergeCell ref="E211:K2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1"/>
  <sheetViews>
    <sheetView topLeftCell="A435" zoomScale="90" zoomScaleNormal="90" workbookViewId="0">
      <selection activeCell="H267" sqref="H267"/>
    </sheetView>
  </sheetViews>
  <sheetFormatPr defaultColWidth="9.140625" defaultRowHeight="15" x14ac:dyDescent="0.25"/>
  <cols>
    <col min="1" max="1" width="7.85546875" style="270" customWidth="1"/>
    <col min="2" max="2" width="51.28515625" style="271" customWidth="1"/>
    <col min="3" max="3" width="29.140625" style="262" customWidth="1"/>
    <col min="4" max="4" width="22.85546875" style="262" customWidth="1"/>
    <col min="5" max="5" width="22.42578125" style="262" customWidth="1"/>
    <col min="6" max="6" width="18" style="262" customWidth="1"/>
    <col min="7" max="7" width="19.85546875" style="262" customWidth="1"/>
    <col min="8" max="8" width="15.28515625" style="262" customWidth="1"/>
    <col min="9" max="9" width="29.140625" style="262" customWidth="1"/>
    <col min="10" max="10" width="22.85546875" style="262" customWidth="1"/>
    <col min="11" max="11" width="19.85546875" style="262" customWidth="1"/>
    <col min="12" max="12" width="21.28515625" style="262" customWidth="1"/>
    <col min="13" max="13" width="12.140625" style="262" customWidth="1"/>
    <col min="14" max="17" width="9.140625" style="262" customWidth="1"/>
    <col min="18" max="18" width="7.85546875" style="270" customWidth="1"/>
    <col min="19" max="19" width="51.28515625" style="271" customWidth="1"/>
    <col min="20" max="20" width="29.140625" style="262" customWidth="1"/>
    <col min="21" max="21" width="22.85546875" style="262" customWidth="1"/>
    <col min="22" max="22" width="19.85546875" style="262" customWidth="1"/>
    <col min="23" max="23" width="16.7109375" style="262" customWidth="1"/>
    <col min="24" max="24" width="22.42578125" style="262" customWidth="1"/>
    <col min="25" max="25" width="12.42578125" style="262" customWidth="1"/>
    <col min="26" max="16384" width="9.140625" style="262"/>
  </cols>
  <sheetData>
    <row r="1" spans="1:25" ht="15.75" x14ac:dyDescent="0.25">
      <c r="A1" s="260"/>
      <c r="B1" s="65"/>
      <c r="C1" s="66"/>
      <c r="D1" s="66"/>
      <c r="E1" s="261" t="s">
        <v>482</v>
      </c>
      <c r="G1" s="263"/>
      <c r="H1" s="263"/>
      <c r="I1" s="66"/>
      <c r="J1" s="66"/>
      <c r="K1" s="261"/>
      <c r="R1" s="260"/>
      <c r="S1" s="65"/>
      <c r="T1" s="66"/>
      <c r="U1" s="66"/>
      <c r="V1" s="261" t="s">
        <v>415</v>
      </c>
      <c r="X1" s="263"/>
      <c r="Y1" s="263"/>
    </row>
    <row r="2" spans="1:25" ht="15.75" x14ac:dyDescent="0.25">
      <c r="A2" s="260"/>
      <c r="B2" s="65"/>
      <c r="C2" s="66"/>
      <c r="D2" s="66"/>
      <c r="E2" s="43" t="s">
        <v>492</v>
      </c>
      <c r="G2" s="263"/>
      <c r="H2" s="263"/>
      <c r="I2" s="66"/>
      <c r="J2" s="66"/>
      <c r="K2" s="43"/>
      <c r="R2" s="260"/>
      <c r="S2" s="65"/>
      <c r="T2" s="66"/>
      <c r="U2" s="66"/>
      <c r="V2" s="43" t="s">
        <v>478</v>
      </c>
      <c r="X2" s="263"/>
      <c r="Y2" s="263"/>
    </row>
    <row r="3" spans="1:25" ht="15.75" x14ac:dyDescent="0.25">
      <c r="A3" s="260"/>
      <c r="B3" s="65"/>
      <c r="C3" s="67"/>
      <c r="D3" s="66"/>
      <c r="E3" s="43" t="s">
        <v>0</v>
      </c>
      <c r="G3" s="263"/>
      <c r="H3" s="263"/>
      <c r="I3" s="67"/>
      <c r="J3" s="66"/>
      <c r="K3" s="43"/>
      <c r="R3" s="260"/>
      <c r="S3" s="65"/>
      <c r="T3" s="67"/>
      <c r="U3" s="66"/>
      <c r="V3" s="43" t="s">
        <v>0</v>
      </c>
      <c r="X3" s="263"/>
      <c r="Y3" s="263"/>
    </row>
    <row r="4" spans="1:25" ht="18.75" x14ac:dyDescent="0.25">
      <c r="A4" s="260"/>
      <c r="B4" s="65"/>
      <c r="C4" s="67"/>
      <c r="D4" s="264"/>
      <c r="E4" s="43" t="s">
        <v>1</v>
      </c>
      <c r="G4" s="265"/>
      <c r="H4" s="263"/>
      <c r="I4" s="67"/>
      <c r="J4" s="264"/>
      <c r="K4" s="43"/>
      <c r="R4" s="260"/>
      <c r="S4" s="65"/>
      <c r="T4" s="67"/>
      <c r="U4" s="264"/>
      <c r="V4" s="43" t="s">
        <v>1</v>
      </c>
      <c r="X4" s="263"/>
      <c r="Y4" s="263"/>
    </row>
    <row r="5" spans="1:25" ht="15.75" x14ac:dyDescent="0.25">
      <c r="A5" s="260"/>
      <c r="B5" s="65"/>
      <c r="C5" s="67"/>
      <c r="D5" s="266"/>
      <c r="E5" s="44" t="s">
        <v>493</v>
      </c>
      <c r="G5" s="263"/>
      <c r="H5" s="263"/>
      <c r="I5" s="67"/>
      <c r="J5" s="266"/>
      <c r="K5" s="44"/>
      <c r="R5" s="260"/>
      <c r="S5" s="65"/>
      <c r="T5" s="67"/>
      <c r="U5" s="266"/>
      <c r="V5" s="44" t="s">
        <v>480</v>
      </c>
      <c r="X5" s="263"/>
      <c r="Y5" s="263"/>
    </row>
    <row r="6" spans="1:25" ht="15.75" x14ac:dyDescent="0.25">
      <c r="A6" s="260"/>
      <c r="B6" s="65"/>
      <c r="C6" s="66"/>
      <c r="D6" s="66"/>
      <c r="E6" s="267"/>
      <c r="F6" s="263"/>
      <c r="G6" s="263"/>
      <c r="H6" s="263"/>
      <c r="I6" s="66"/>
      <c r="J6" s="66"/>
      <c r="K6" s="267"/>
      <c r="R6" s="260"/>
      <c r="S6" s="65"/>
      <c r="T6" s="66"/>
      <c r="U6" s="66"/>
      <c r="V6" s="267"/>
      <c r="W6" s="263"/>
      <c r="X6" s="263"/>
      <c r="Y6" s="263"/>
    </row>
    <row r="7" spans="1:25" ht="47.45" customHeight="1" x14ac:dyDescent="0.25">
      <c r="A7" s="467" t="s">
        <v>451</v>
      </c>
      <c r="B7" s="467"/>
      <c r="C7" s="467"/>
      <c r="D7" s="467"/>
      <c r="E7" s="467"/>
      <c r="F7" s="268"/>
      <c r="G7" s="269"/>
      <c r="H7" s="269"/>
      <c r="R7" s="262"/>
      <c r="S7" s="262"/>
    </row>
    <row r="8" spans="1:25" ht="20.25" customHeight="1" x14ac:dyDescent="0.25">
      <c r="R8" s="262"/>
      <c r="S8" s="262"/>
    </row>
    <row r="9" spans="1:25" s="239" customFormat="1" ht="24.75" customHeight="1" x14ac:dyDescent="0.25">
      <c r="A9" s="468" t="s">
        <v>2</v>
      </c>
      <c r="B9" s="470" t="s">
        <v>226</v>
      </c>
      <c r="C9" s="472" t="s">
        <v>234</v>
      </c>
      <c r="D9" s="472" t="s">
        <v>235</v>
      </c>
      <c r="E9" s="474" t="s">
        <v>236</v>
      </c>
    </row>
    <row r="10" spans="1:25" s="239" customFormat="1" ht="48.75" customHeight="1" x14ac:dyDescent="0.25">
      <c r="A10" s="469"/>
      <c r="B10" s="471"/>
      <c r="C10" s="473"/>
      <c r="D10" s="473"/>
      <c r="E10" s="474"/>
    </row>
    <row r="11" spans="1:25" s="239" customFormat="1" ht="19.5" customHeight="1" x14ac:dyDescent="0.25">
      <c r="A11" s="272">
        <v>61</v>
      </c>
      <c r="B11" s="273" t="s">
        <v>48</v>
      </c>
      <c r="C11" s="274">
        <v>6703</v>
      </c>
      <c r="D11" s="274">
        <v>1100</v>
      </c>
      <c r="E11" s="274">
        <v>7853</v>
      </c>
    </row>
    <row r="12" spans="1:25" s="239" customFormat="1" ht="19.5" customHeight="1" x14ac:dyDescent="0.25">
      <c r="A12" s="272">
        <v>59</v>
      </c>
      <c r="B12" s="273" t="s">
        <v>29</v>
      </c>
      <c r="C12" s="274">
        <v>105860</v>
      </c>
      <c r="D12" s="274">
        <v>17688</v>
      </c>
      <c r="E12" s="274">
        <v>60866</v>
      </c>
    </row>
    <row r="13" spans="1:25" s="239" customFormat="1" ht="19.5" customHeight="1" x14ac:dyDescent="0.25">
      <c r="A13" s="272">
        <v>63</v>
      </c>
      <c r="B13" s="273" t="s">
        <v>30</v>
      </c>
      <c r="C13" s="274">
        <v>29810</v>
      </c>
      <c r="D13" s="274">
        <v>4524</v>
      </c>
      <c r="E13" s="274">
        <v>15143</v>
      </c>
    </row>
    <row r="14" spans="1:25" s="239" customFormat="1" ht="19.5" customHeight="1" x14ac:dyDescent="0.25">
      <c r="A14" s="272">
        <v>65</v>
      </c>
      <c r="B14" s="273" t="s">
        <v>31</v>
      </c>
      <c r="C14" s="274">
        <v>35927</v>
      </c>
      <c r="D14" s="274">
        <v>6220</v>
      </c>
      <c r="E14" s="274">
        <v>17945</v>
      </c>
    </row>
    <row r="15" spans="1:25" s="239" customFormat="1" ht="19.5" customHeight="1" x14ac:dyDescent="0.25">
      <c r="A15" s="272">
        <v>67</v>
      </c>
      <c r="B15" s="273" t="s">
        <v>61</v>
      </c>
      <c r="C15" s="274">
        <v>38438</v>
      </c>
      <c r="D15" s="274">
        <v>4142</v>
      </c>
      <c r="E15" s="274">
        <v>16525</v>
      </c>
    </row>
    <row r="16" spans="1:25" s="239" customFormat="1" ht="19.5" customHeight="1" x14ac:dyDescent="0.25">
      <c r="A16" s="272">
        <v>69</v>
      </c>
      <c r="B16" s="273" t="s">
        <v>32</v>
      </c>
      <c r="C16" s="274">
        <v>57107</v>
      </c>
      <c r="D16" s="274">
        <v>4445</v>
      </c>
      <c r="E16" s="274">
        <v>26055</v>
      </c>
    </row>
    <row r="17" spans="1:5" s="239" customFormat="1" ht="19.5" customHeight="1" x14ac:dyDescent="0.25">
      <c r="A17" s="272">
        <v>71</v>
      </c>
      <c r="B17" s="273" t="s">
        <v>14</v>
      </c>
      <c r="C17" s="274">
        <v>53716</v>
      </c>
      <c r="D17" s="274">
        <v>6085</v>
      </c>
      <c r="E17" s="274">
        <v>12362</v>
      </c>
    </row>
    <row r="18" spans="1:5" s="239" customFormat="1" ht="19.5" customHeight="1" x14ac:dyDescent="0.25">
      <c r="A18" s="272">
        <v>103</v>
      </c>
      <c r="B18" s="273" t="s">
        <v>15</v>
      </c>
      <c r="C18" s="274">
        <v>182831</v>
      </c>
      <c r="D18" s="274">
        <v>17600</v>
      </c>
      <c r="E18" s="274">
        <v>47367</v>
      </c>
    </row>
    <row r="19" spans="1:5" s="239" customFormat="1" ht="19.5" customHeight="1" x14ac:dyDescent="0.25">
      <c r="A19" s="272">
        <v>73</v>
      </c>
      <c r="B19" s="273" t="s">
        <v>17</v>
      </c>
      <c r="C19" s="274">
        <v>42408</v>
      </c>
      <c r="D19" s="274">
        <v>2400</v>
      </c>
      <c r="E19" s="274">
        <v>15256</v>
      </c>
    </row>
    <row r="20" spans="1:5" s="239" customFormat="1" ht="19.5" customHeight="1" x14ac:dyDescent="0.25">
      <c r="A20" s="272">
        <v>232</v>
      </c>
      <c r="B20" s="273" t="s">
        <v>55</v>
      </c>
      <c r="C20" s="274">
        <v>76019</v>
      </c>
      <c r="D20" s="274">
        <v>15300</v>
      </c>
      <c r="E20" s="274">
        <v>20972</v>
      </c>
    </row>
    <row r="21" spans="1:5" s="239" customFormat="1" ht="19.5" customHeight="1" x14ac:dyDescent="0.25">
      <c r="A21" s="272">
        <v>75</v>
      </c>
      <c r="B21" s="273" t="s">
        <v>62</v>
      </c>
      <c r="C21" s="274">
        <v>35987</v>
      </c>
      <c r="D21" s="274">
        <v>5159</v>
      </c>
      <c r="E21" s="274">
        <v>14034</v>
      </c>
    </row>
    <row r="22" spans="1:5" s="239" customFormat="1" ht="19.5" customHeight="1" x14ac:dyDescent="0.25">
      <c r="A22" s="272">
        <v>275</v>
      </c>
      <c r="B22" s="273" t="s">
        <v>51</v>
      </c>
      <c r="C22" s="274">
        <v>11990</v>
      </c>
      <c r="D22" s="274">
        <v>2873</v>
      </c>
      <c r="E22" s="274">
        <v>5697</v>
      </c>
    </row>
    <row r="23" spans="1:5" s="239" customFormat="1" ht="19.5" customHeight="1" x14ac:dyDescent="0.25">
      <c r="A23" s="272">
        <v>203</v>
      </c>
      <c r="B23" s="273" t="s">
        <v>33</v>
      </c>
      <c r="C23" s="274">
        <v>45025</v>
      </c>
      <c r="D23" s="274">
        <v>2819</v>
      </c>
      <c r="E23" s="274">
        <v>25797</v>
      </c>
    </row>
    <row r="24" spans="1:5" s="239" customFormat="1" ht="19.5" customHeight="1" x14ac:dyDescent="0.25">
      <c r="A24" s="272">
        <v>79</v>
      </c>
      <c r="B24" s="273" t="s">
        <v>34</v>
      </c>
      <c r="C24" s="274">
        <v>30427</v>
      </c>
      <c r="D24" s="274">
        <v>4103</v>
      </c>
      <c r="E24" s="274">
        <v>13235</v>
      </c>
    </row>
    <row r="25" spans="1:5" s="239" customFormat="1" ht="19.5" customHeight="1" x14ac:dyDescent="0.25">
      <c r="A25" s="272">
        <v>231</v>
      </c>
      <c r="B25" s="273" t="s">
        <v>54</v>
      </c>
      <c r="C25" s="274">
        <v>111831</v>
      </c>
      <c r="D25" s="274">
        <v>2722</v>
      </c>
      <c r="E25" s="274">
        <v>42912</v>
      </c>
    </row>
    <row r="26" spans="1:5" s="239" customFormat="1" ht="19.5" customHeight="1" x14ac:dyDescent="0.25">
      <c r="A26" s="272">
        <v>115</v>
      </c>
      <c r="B26" s="273" t="s">
        <v>23</v>
      </c>
      <c r="C26" s="274">
        <v>62505</v>
      </c>
      <c r="D26" s="274">
        <v>8019</v>
      </c>
      <c r="E26" s="274">
        <v>54014</v>
      </c>
    </row>
    <row r="27" spans="1:5" s="239" customFormat="1" ht="19.5" customHeight="1" x14ac:dyDescent="0.25">
      <c r="A27" s="272">
        <v>81</v>
      </c>
      <c r="B27" s="273" t="s">
        <v>35</v>
      </c>
      <c r="C27" s="274">
        <v>13708</v>
      </c>
      <c r="D27" s="274">
        <v>1100</v>
      </c>
      <c r="E27" s="274">
        <v>9749</v>
      </c>
    </row>
    <row r="28" spans="1:5" s="239" customFormat="1" ht="19.5" customHeight="1" x14ac:dyDescent="0.25">
      <c r="A28" s="272">
        <v>83</v>
      </c>
      <c r="B28" s="273" t="s">
        <v>26</v>
      </c>
      <c r="C28" s="274">
        <v>93872</v>
      </c>
      <c r="D28" s="274">
        <v>2643</v>
      </c>
      <c r="E28" s="274">
        <v>40170</v>
      </c>
    </row>
    <row r="29" spans="1:5" s="239" customFormat="1" ht="19.5" customHeight="1" x14ac:dyDescent="0.25">
      <c r="A29" s="272">
        <v>85</v>
      </c>
      <c r="B29" s="273" t="s">
        <v>36</v>
      </c>
      <c r="C29" s="274">
        <v>24551</v>
      </c>
      <c r="D29" s="274">
        <v>1000</v>
      </c>
      <c r="E29" s="274">
        <v>18041</v>
      </c>
    </row>
    <row r="30" spans="1:5" s="239" customFormat="1" ht="19.5" customHeight="1" x14ac:dyDescent="0.25">
      <c r="A30" s="272">
        <v>87</v>
      </c>
      <c r="B30" s="273" t="s">
        <v>28</v>
      </c>
      <c r="C30" s="274">
        <v>57400</v>
      </c>
      <c r="D30" s="274">
        <v>5300</v>
      </c>
      <c r="E30" s="274">
        <v>22017</v>
      </c>
    </row>
    <row r="31" spans="1:5" s="239" customFormat="1" ht="19.5" customHeight="1" x14ac:dyDescent="0.25">
      <c r="A31" s="272">
        <v>144</v>
      </c>
      <c r="B31" s="273" t="s">
        <v>24</v>
      </c>
      <c r="C31" s="274">
        <v>88817</v>
      </c>
      <c r="D31" s="274">
        <v>38251</v>
      </c>
      <c r="E31" s="274">
        <v>1075</v>
      </c>
    </row>
    <row r="32" spans="1:5" s="239" customFormat="1" ht="19.5" customHeight="1" x14ac:dyDescent="0.25">
      <c r="A32" s="272">
        <v>292</v>
      </c>
      <c r="B32" s="273" t="s">
        <v>22</v>
      </c>
      <c r="C32" s="274">
        <v>23916</v>
      </c>
      <c r="D32" s="274">
        <v>1300</v>
      </c>
      <c r="E32" s="274">
        <v>6710</v>
      </c>
    </row>
    <row r="33" spans="1:5" s="239" customFormat="1" ht="19.5" customHeight="1" x14ac:dyDescent="0.25">
      <c r="A33" s="272">
        <v>188</v>
      </c>
      <c r="B33" s="273" t="s">
        <v>27</v>
      </c>
      <c r="C33" s="274">
        <v>80556</v>
      </c>
      <c r="D33" s="274">
        <v>0</v>
      </c>
      <c r="E33" s="274">
        <v>26235</v>
      </c>
    </row>
    <row r="34" spans="1:5" s="239" customFormat="1" ht="19.5" customHeight="1" x14ac:dyDescent="0.25">
      <c r="A34" s="272">
        <v>26</v>
      </c>
      <c r="B34" s="273" t="s">
        <v>212</v>
      </c>
      <c r="C34" s="274">
        <v>31548</v>
      </c>
      <c r="D34" s="274">
        <v>0</v>
      </c>
      <c r="E34" s="274">
        <v>4400</v>
      </c>
    </row>
    <row r="35" spans="1:5" s="239" customFormat="1" ht="19.5" customHeight="1" x14ac:dyDescent="0.25">
      <c r="A35" s="272">
        <v>146</v>
      </c>
      <c r="B35" s="273" t="s">
        <v>20</v>
      </c>
      <c r="C35" s="274">
        <v>66270</v>
      </c>
      <c r="D35" s="274">
        <v>0</v>
      </c>
      <c r="E35" s="274">
        <v>1572</v>
      </c>
    </row>
    <row r="36" spans="1:5" s="239" customFormat="1" ht="19.5" customHeight="1" x14ac:dyDescent="0.25">
      <c r="A36" s="272">
        <v>29</v>
      </c>
      <c r="B36" s="273" t="s">
        <v>185</v>
      </c>
      <c r="C36" s="274">
        <v>62423</v>
      </c>
      <c r="D36" s="274">
        <v>3200</v>
      </c>
      <c r="E36" s="274">
        <v>32407</v>
      </c>
    </row>
    <row r="37" spans="1:5" s="239" customFormat="1" ht="19.5" customHeight="1" x14ac:dyDescent="0.25">
      <c r="A37" s="272">
        <v>33</v>
      </c>
      <c r="B37" s="273" t="s">
        <v>49</v>
      </c>
      <c r="C37" s="274">
        <v>152369</v>
      </c>
      <c r="D37" s="274">
        <v>65220</v>
      </c>
      <c r="E37" s="274">
        <v>44412</v>
      </c>
    </row>
    <row r="38" spans="1:5" s="239" customFormat="1" ht="19.5" customHeight="1" x14ac:dyDescent="0.25">
      <c r="A38" s="272">
        <v>35</v>
      </c>
      <c r="B38" s="273" t="s">
        <v>50</v>
      </c>
      <c r="C38" s="274">
        <v>75934</v>
      </c>
      <c r="D38" s="274">
        <v>12050</v>
      </c>
      <c r="E38" s="274">
        <v>39733</v>
      </c>
    </row>
    <row r="39" spans="1:5" s="239" customFormat="1" ht="19.5" customHeight="1" x14ac:dyDescent="0.25">
      <c r="A39" s="272">
        <v>140</v>
      </c>
      <c r="B39" s="273" t="s">
        <v>488</v>
      </c>
      <c r="C39" s="274">
        <v>215767</v>
      </c>
      <c r="D39" s="274">
        <v>64440</v>
      </c>
      <c r="E39" s="274">
        <v>91951</v>
      </c>
    </row>
    <row r="40" spans="1:5" s="239" customFormat="1" ht="19.5" customHeight="1" x14ac:dyDescent="0.25">
      <c r="A40" s="272">
        <v>49</v>
      </c>
      <c r="B40" s="273" t="s">
        <v>18</v>
      </c>
      <c r="C40" s="274">
        <v>64359</v>
      </c>
      <c r="D40" s="274">
        <v>10050</v>
      </c>
      <c r="E40" s="274">
        <v>19645</v>
      </c>
    </row>
    <row r="41" spans="1:5" s="239" customFormat="1" ht="19.5" customHeight="1" x14ac:dyDescent="0.25">
      <c r="A41" s="272">
        <v>142</v>
      </c>
      <c r="B41" s="273" t="s">
        <v>454</v>
      </c>
      <c r="C41" s="274">
        <v>42999</v>
      </c>
      <c r="D41" s="274">
        <v>3300</v>
      </c>
      <c r="E41" s="274">
        <v>13202</v>
      </c>
    </row>
    <row r="42" spans="1:5" s="239" customFormat="1" ht="19.5" customHeight="1" x14ac:dyDescent="0.25">
      <c r="A42" s="272">
        <v>129</v>
      </c>
      <c r="B42" s="273" t="s">
        <v>224</v>
      </c>
      <c r="C42" s="274">
        <v>71803</v>
      </c>
      <c r="D42" s="274">
        <v>5786</v>
      </c>
      <c r="E42" s="274">
        <v>26913</v>
      </c>
    </row>
    <row r="43" spans="1:5" s="239" customFormat="1" ht="19.5" customHeight="1" x14ac:dyDescent="0.25">
      <c r="A43" s="272">
        <v>133</v>
      </c>
      <c r="B43" s="273" t="s">
        <v>452</v>
      </c>
      <c r="C43" s="274">
        <v>96396</v>
      </c>
      <c r="D43" s="274">
        <v>4203</v>
      </c>
      <c r="E43" s="274">
        <v>37481</v>
      </c>
    </row>
    <row r="44" spans="1:5" s="239" customFormat="1" ht="19.5" customHeight="1" x14ac:dyDescent="0.25">
      <c r="A44" s="272">
        <v>135</v>
      </c>
      <c r="B44" s="273" t="s">
        <v>238</v>
      </c>
      <c r="C44" s="274">
        <v>218739</v>
      </c>
      <c r="D44" s="274">
        <v>10250</v>
      </c>
      <c r="E44" s="274">
        <v>67035</v>
      </c>
    </row>
    <row r="45" spans="1:5" s="239" customFormat="1" ht="19.5" customHeight="1" x14ac:dyDescent="0.25">
      <c r="A45" s="272">
        <v>4</v>
      </c>
      <c r="B45" s="273" t="s">
        <v>53</v>
      </c>
      <c r="C45" s="274">
        <v>88028</v>
      </c>
      <c r="D45" s="274">
        <v>12203</v>
      </c>
      <c r="E45" s="274">
        <v>33083</v>
      </c>
    </row>
    <row r="46" spans="1:5" s="239" customFormat="1" ht="19.5" customHeight="1" x14ac:dyDescent="0.25">
      <c r="A46" s="272">
        <v>10</v>
      </c>
      <c r="B46" s="273" t="s">
        <v>239</v>
      </c>
      <c r="C46" s="274">
        <v>153046</v>
      </c>
      <c r="D46" s="274">
        <v>37069</v>
      </c>
      <c r="E46" s="274">
        <v>68581</v>
      </c>
    </row>
    <row r="47" spans="1:5" s="239" customFormat="1" ht="19.5" customHeight="1" x14ac:dyDescent="0.25">
      <c r="A47" s="272">
        <v>13</v>
      </c>
      <c r="B47" s="273" t="s">
        <v>63</v>
      </c>
      <c r="C47" s="274">
        <v>53780</v>
      </c>
      <c r="D47" s="274">
        <v>7769</v>
      </c>
      <c r="E47" s="274">
        <v>27232</v>
      </c>
    </row>
    <row r="48" spans="1:5" s="239" customFormat="1" ht="19.5" customHeight="1" x14ac:dyDescent="0.25">
      <c r="A48" s="272">
        <v>23</v>
      </c>
      <c r="B48" s="273" t="s">
        <v>240</v>
      </c>
      <c r="C48" s="274">
        <v>2969</v>
      </c>
      <c r="D48" s="274">
        <v>9088</v>
      </c>
      <c r="E48" s="274">
        <v>8000</v>
      </c>
    </row>
    <row r="49" spans="1:5" s="239" customFormat="1" ht="19.5" customHeight="1" x14ac:dyDescent="0.25">
      <c r="A49" s="272">
        <v>27</v>
      </c>
      <c r="B49" s="273" t="s">
        <v>241</v>
      </c>
      <c r="C49" s="274">
        <v>13152</v>
      </c>
      <c r="D49" s="274">
        <v>3144</v>
      </c>
      <c r="E49" s="274">
        <v>25311</v>
      </c>
    </row>
    <row r="50" spans="1:5" s="239" customFormat="1" ht="19.5" customHeight="1" x14ac:dyDescent="0.25">
      <c r="A50" s="272">
        <v>20</v>
      </c>
      <c r="B50" s="273" t="s">
        <v>242</v>
      </c>
      <c r="C50" s="274">
        <v>13000</v>
      </c>
      <c r="D50" s="274">
        <v>3490</v>
      </c>
      <c r="E50" s="274">
        <v>12959</v>
      </c>
    </row>
    <row r="51" spans="1:5" s="239" customFormat="1" ht="19.5" customHeight="1" x14ac:dyDescent="0.25">
      <c r="A51" s="272">
        <v>28</v>
      </c>
      <c r="B51" s="273" t="s">
        <v>11</v>
      </c>
      <c r="C51" s="274">
        <v>4100</v>
      </c>
      <c r="D51" s="274">
        <v>10800</v>
      </c>
      <c r="E51" s="274">
        <v>0</v>
      </c>
    </row>
    <row r="52" spans="1:5" s="239" customFormat="1" ht="19.5" customHeight="1" x14ac:dyDescent="0.25">
      <c r="A52" s="272">
        <v>139</v>
      </c>
      <c r="B52" s="273" t="s">
        <v>82</v>
      </c>
      <c r="C52" s="274">
        <v>620</v>
      </c>
      <c r="D52" s="274">
        <v>37700</v>
      </c>
      <c r="E52" s="274">
        <v>0</v>
      </c>
    </row>
    <row r="53" spans="1:5" s="239" customFormat="1" ht="19.5" customHeight="1" x14ac:dyDescent="0.25">
      <c r="A53" s="272">
        <v>354</v>
      </c>
      <c r="B53" s="273" t="s">
        <v>59</v>
      </c>
      <c r="C53" s="274">
        <v>264902</v>
      </c>
      <c r="D53" s="274">
        <v>64897</v>
      </c>
      <c r="E53" s="274">
        <v>138358</v>
      </c>
    </row>
    <row r="54" spans="1:5" s="239" customFormat="1" ht="19.5" customHeight="1" x14ac:dyDescent="0.25">
      <c r="A54" s="272">
        <v>466</v>
      </c>
      <c r="B54" s="273" t="s">
        <v>262</v>
      </c>
      <c r="C54" s="274">
        <v>21956</v>
      </c>
      <c r="D54" s="274">
        <v>3300</v>
      </c>
      <c r="E54" s="274">
        <v>1774</v>
      </c>
    </row>
    <row r="55" spans="1:5" s="239" customFormat="1" ht="19.5" customHeight="1" x14ac:dyDescent="0.25">
      <c r="A55" s="272">
        <v>173</v>
      </c>
      <c r="B55" s="273" t="s">
        <v>42</v>
      </c>
      <c r="C55" s="274">
        <v>6072</v>
      </c>
      <c r="D55" s="274">
        <v>16300</v>
      </c>
      <c r="E55" s="274">
        <v>283</v>
      </c>
    </row>
    <row r="56" spans="1:5" s="239" customFormat="1" ht="19.5" customHeight="1" x14ac:dyDescent="0.25">
      <c r="A56" s="272">
        <v>151</v>
      </c>
      <c r="B56" s="273" t="s">
        <v>66</v>
      </c>
      <c r="C56" s="274">
        <v>10567</v>
      </c>
      <c r="D56" s="274">
        <v>251</v>
      </c>
      <c r="E56" s="274">
        <v>3268</v>
      </c>
    </row>
    <row r="57" spans="1:5" s="239" customFormat="1" ht="19.5" customHeight="1" x14ac:dyDescent="0.25">
      <c r="A57" s="272">
        <v>463</v>
      </c>
      <c r="B57" s="273" t="s">
        <v>231</v>
      </c>
      <c r="C57" s="274">
        <v>0</v>
      </c>
      <c r="D57" s="274">
        <v>0</v>
      </c>
      <c r="E57" s="274">
        <v>0</v>
      </c>
    </row>
    <row r="58" spans="1:5" s="239" customFormat="1" ht="19.5" customHeight="1" x14ac:dyDescent="0.25">
      <c r="A58" s="272">
        <v>399</v>
      </c>
      <c r="B58" s="273" t="s">
        <v>247</v>
      </c>
      <c r="C58" s="274">
        <v>5573</v>
      </c>
      <c r="D58" s="274">
        <v>0</v>
      </c>
      <c r="E58" s="274">
        <v>100</v>
      </c>
    </row>
    <row r="59" spans="1:5" s="239" customFormat="1" ht="19.5" customHeight="1" x14ac:dyDescent="0.25">
      <c r="A59" s="272">
        <v>333</v>
      </c>
      <c r="B59" s="273" t="s">
        <v>39</v>
      </c>
      <c r="C59" s="274">
        <v>500</v>
      </c>
      <c r="D59" s="274">
        <v>0</v>
      </c>
      <c r="E59" s="274">
        <v>30</v>
      </c>
    </row>
    <row r="60" spans="1:5" s="239" customFormat="1" ht="19.5" customHeight="1" x14ac:dyDescent="0.25">
      <c r="A60" s="272">
        <v>281</v>
      </c>
      <c r="B60" s="273" t="s">
        <v>244</v>
      </c>
      <c r="C60" s="274">
        <v>0</v>
      </c>
      <c r="D60" s="274">
        <v>270</v>
      </c>
      <c r="E60" s="274">
        <v>0</v>
      </c>
    </row>
    <row r="61" spans="1:5" s="239" customFormat="1" ht="19.5" customHeight="1" x14ac:dyDescent="0.25">
      <c r="A61" s="272">
        <v>447</v>
      </c>
      <c r="B61" s="273" t="s">
        <v>38</v>
      </c>
      <c r="C61" s="274">
        <v>1137</v>
      </c>
      <c r="D61" s="274">
        <v>0</v>
      </c>
      <c r="E61" s="274">
        <v>0</v>
      </c>
    </row>
    <row r="62" spans="1:5" s="239" customFormat="1" ht="19.5" customHeight="1" x14ac:dyDescent="0.25">
      <c r="A62" s="272">
        <v>385</v>
      </c>
      <c r="B62" s="273" t="s">
        <v>245</v>
      </c>
      <c r="C62" s="274">
        <v>560</v>
      </c>
      <c r="D62" s="274">
        <v>0</v>
      </c>
      <c r="E62" s="274">
        <v>0</v>
      </c>
    </row>
    <row r="63" spans="1:5" s="239" customFormat="1" ht="19.5" customHeight="1" x14ac:dyDescent="0.25">
      <c r="A63" s="272">
        <v>432</v>
      </c>
      <c r="B63" s="273" t="s">
        <v>453</v>
      </c>
      <c r="C63" s="274">
        <v>100</v>
      </c>
      <c r="D63" s="274">
        <v>0</v>
      </c>
      <c r="E63" s="274">
        <v>0</v>
      </c>
    </row>
    <row r="64" spans="1:5" s="239" customFormat="1" ht="19.5" customHeight="1" x14ac:dyDescent="0.25">
      <c r="A64" s="272">
        <v>452</v>
      </c>
      <c r="B64" s="273" t="s">
        <v>254</v>
      </c>
      <c r="C64" s="274">
        <v>400</v>
      </c>
      <c r="D64" s="274">
        <v>0</v>
      </c>
      <c r="E64" s="274">
        <v>0</v>
      </c>
    </row>
    <row r="65" spans="1:5" s="239" customFormat="1" ht="19.5" customHeight="1" x14ac:dyDescent="0.25">
      <c r="A65" s="272">
        <v>294</v>
      </c>
      <c r="B65" s="273" t="s">
        <v>58</v>
      </c>
      <c r="C65" s="274">
        <v>1524</v>
      </c>
      <c r="D65" s="274">
        <v>50</v>
      </c>
      <c r="E65" s="274">
        <v>452</v>
      </c>
    </row>
    <row r="66" spans="1:5" s="239" customFormat="1" ht="19.5" customHeight="1" x14ac:dyDescent="0.25">
      <c r="A66" s="272">
        <v>205</v>
      </c>
      <c r="B66" s="273" t="s">
        <v>243</v>
      </c>
      <c r="C66" s="274">
        <v>38266</v>
      </c>
      <c r="D66" s="274">
        <v>193</v>
      </c>
      <c r="E66" s="274">
        <v>16795</v>
      </c>
    </row>
    <row r="67" spans="1:5" s="239" customFormat="1" ht="19.5" customHeight="1" x14ac:dyDescent="0.25">
      <c r="A67" s="272">
        <v>342</v>
      </c>
      <c r="B67" s="273" t="s">
        <v>243</v>
      </c>
      <c r="C67" s="274">
        <v>91</v>
      </c>
      <c r="D67" s="274">
        <v>0</v>
      </c>
      <c r="E67" s="274">
        <v>0</v>
      </c>
    </row>
    <row r="68" spans="1:5" s="239" customFormat="1" ht="19.5" customHeight="1" x14ac:dyDescent="0.25">
      <c r="A68" s="272">
        <v>355</v>
      </c>
      <c r="B68" s="273" t="s">
        <v>216</v>
      </c>
      <c r="C68" s="274">
        <v>4202</v>
      </c>
      <c r="D68" s="274">
        <v>5050</v>
      </c>
      <c r="E68" s="274">
        <v>94</v>
      </c>
    </row>
    <row r="69" spans="1:5" s="239" customFormat="1" ht="19.5" customHeight="1" x14ac:dyDescent="0.25">
      <c r="A69" s="272">
        <v>387</v>
      </c>
      <c r="B69" s="273" t="s">
        <v>68</v>
      </c>
      <c r="C69" s="274">
        <v>11248</v>
      </c>
      <c r="D69" s="274">
        <v>0</v>
      </c>
      <c r="E69" s="274">
        <v>0</v>
      </c>
    </row>
    <row r="70" spans="1:5" s="239" customFormat="1" ht="19.5" customHeight="1" x14ac:dyDescent="0.25">
      <c r="A70" s="272">
        <v>390</v>
      </c>
      <c r="B70" s="273" t="s">
        <v>246</v>
      </c>
      <c r="C70" s="274">
        <v>2180</v>
      </c>
      <c r="D70" s="274">
        <v>0</v>
      </c>
      <c r="E70" s="274">
        <v>0</v>
      </c>
    </row>
    <row r="71" spans="1:5" s="239" customFormat="1" ht="19.5" customHeight="1" x14ac:dyDescent="0.25">
      <c r="A71" s="272">
        <v>396</v>
      </c>
      <c r="B71" s="273" t="s">
        <v>69</v>
      </c>
      <c r="C71" s="274">
        <v>2969</v>
      </c>
      <c r="D71" s="274">
        <v>0</v>
      </c>
      <c r="E71" s="274">
        <v>0</v>
      </c>
    </row>
    <row r="72" spans="1:5" s="239" customFormat="1" ht="19.5" customHeight="1" x14ac:dyDescent="0.25">
      <c r="A72" s="272">
        <v>450</v>
      </c>
      <c r="B72" s="273" t="s">
        <v>253</v>
      </c>
      <c r="C72" s="274">
        <v>1358</v>
      </c>
      <c r="D72" s="274">
        <v>0</v>
      </c>
      <c r="E72" s="274">
        <v>0</v>
      </c>
    </row>
    <row r="73" spans="1:5" s="239" customFormat="1" ht="19.5" customHeight="1" x14ac:dyDescent="0.25">
      <c r="A73" s="272">
        <v>405</v>
      </c>
      <c r="B73" s="273" t="s">
        <v>248</v>
      </c>
      <c r="C73" s="274">
        <v>12</v>
      </c>
      <c r="D73" s="274">
        <v>0</v>
      </c>
      <c r="E73" s="274">
        <v>10</v>
      </c>
    </row>
    <row r="74" spans="1:5" s="239" customFormat="1" ht="19.5" customHeight="1" x14ac:dyDescent="0.25">
      <c r="A74" s="272">
        <v>406</v>
      </c>
      <c r="B74" s="273" t="s">
        <v>249</v>
      </c>
      <c r="C74" s="274">
        <v>880</v>
      </c>
      <c r="D74" s="274">
        <v>0</v>
      </c>
      <c r="E74" s="274">
        <v>0</v>
      </c>
    </row>
    <row r="75" spans="1:5" s="239" customFormat="1" ht="19.5" customHeight="1" x14ac:dyDescent="0.25">
      <c r="A75" s="272">
        <v>414</v>
      </c>
      <c r="B75" s="273" t="s">
        <v>250</v>
      </c>
      <c r="C75" s="274">
        <v>18900</v>
      </c>
      <c r="D75" s="274">
        <v>0</v>
      </c>
      <c r="E75" s="274">
        <v>158</v>
      </c>
    </row>
    <row r="76" spans="1:5" s="239" customFormat="1" ht="19.5" customHeight="1" x14ac:dyDescent="0.25">
      <c r="A76" s="272">
        <v>417</v>
      </c>
      <c r="B76" s="273" t="s">
        <v>89</v>
      </c>
      <c r="C76" s="274">
        <v>402</v>
      </c>
      <c r="D76" s="274">
        <v>0</v>
      </c>
      <c r="E76" s="274">
        <v>0</v>
      </c>
    </row>
    <row r="77" spans="1:5" s="239" customFormat="1" ht="19.5" customHeight="1" x14ac:dyDescent="0.25">
      <c r="A77" s="272">
        <v>419</v>
      </c>
      <c r="B77" s="273" t="s">
        <v>251</v>
      </c>
      <c r="C77" s="274">
        <v>17</v>
      </c>
      <c r="D77" s="274">
        <v>0</v>
      </c>
      <c r="E77" s="274">
        <v>0</v>
      </c>
    </row>
    <row r="78" spans="1:5" s="239" customFormat="1" x14ac:dyDescent="0.25">
      <c r="A78" s="272">
        <v>425</v>
      </c>
      <c r="B78" s="273" t="s">
        <v>56</v>
      </c>
      <c r="C78" s="274">
        <v>40</v>
      </c>
      <c r="D78" s="274">
        <v>0</v>
      </c>
      <c r="E78" s="274">
        <v>0</v>
      </c>
    </row>
    <row r="79" spans="1:5" s="239" customFormat="1" ht="21.75" customHeight="1" x14ac:dyDescent="0.25">
      <c r="A79" s="272">
        <v>429</v>
      </c>
      <c r="B79" s="273" t="s">
        <v>60</v>
      </c>
      <c r="C79" s="274">
        <v>7670</v>
      </c>
      <c r="D79" s="274">
        <v>0</v>
      </c>
      <c r="E79" s="274">
        <v>415</v>
      </c>
    </row>
    <row r="80" spans="1:5" s="239" customFormat="1" ht="19.5" customHeight="1" x14ac:dyDescent="0.25">
      <c r="A80" s="272">
        <v>431</v>
      </c>
      <c r="B80" s="273" t="s">
        <v>252</v>
      </c>
      <c r="C80" s="274">
        <v>295</v>
      </c>
      <c r="D80" s="274">
        <v>0</v>
      </c>
      <c r="E80" s="274">
        <v>0</v>
      </c>
    </row>
    <row r="81" spans="1:8" s="239" customFormat="1" ht="19.5" customHeight="1" x14ac:dyDescent="0.25">
      <c r="A81" s="275">
        <v>309</v>
      </c>
      <c r="B81" s="273" t="s">
        <v>471</v>
      </c>
      <c r="C81" s="274">
        <v>100</v>
      </c>
      <c r="D81" s="274">
        <v>0</v>
      </c>
      <c r="E81" s="274">
        <v>100</v>
      </c>
    </row>
    <row r="82" spans="1:8" s="239" customFormat="1" ht="19.5" customHeight="1" x14ac:dyDescent="0.25">
      <c r="A82" s="242"/>
      <c r="B82" s="276" t="s">
        <v>43</v>
      </c>
      <c r="C82" s="277">
        <f>SUM(C11:C81)</f>
        <v>3138627</v>
      </c>
      <c r="D82" s="277">
        <f>SUM(D11:D81)</f>
        <v>544866</v>
      </c>
      <c r="E82" s="277">
        <f>SUM(E11:E81)</f>
        <v>1235784</v>
      </c>
      <c r="G82" s="278"/>
      <c r="H82" s="278"/>
    </row>
    <row r="83" spans="1:8" s="239" customFormat="1" ht="42.75" customHeight="1" x14ac:dyDescent="0.25">
      <c r="A83" s="279">
        <v>1000</v>
      </c>
      <c r="B83" s="280" t="s">
        <v>44</v>
      </c>
      <c r="C83" s="274"/>
      <c r="D83" s="281"/>
      <c r="E83" s="274"/>
      <c r="F83" s="282"/>
      <c r="G83" s="278"/>
      <c r="H83" s="278"/>
    </row>
    <row r="84" spans="1:8" s="239" customFormat="1" ht="19.5" customHeight="1" x14ac:dyDescent="0.25">
      <c r="A84" s="279"/>
      <c r="B84" s="283" t="s">
        <v>45</v>
      </c>
      <c r="C84" s="284">
        <f>C82+C83</f>
        <v>3138627</v>
      </c>
      <c r="D84" s="284">
        <f>D82+D83</f>
        <v>544866</v>
      </c>
      <c r="E84" s="284">
        <f>E82+E83</f>
        <v>1235784</v>
      </c>
      <c r="G84" s="278"/>
      <c r="H84" s="278"/>
    </row>
    <row r="85" spans="1:8" s="239" customFormat="1" ht="19.5" customHeight="1" x14ac:dyDescent="0.25">
      <c r="A85" s="285"/>
      <c r="B85" s="286"/>
      <c r="C85" s="287"/>
      <c r="D85" s="287"/>
      <c r="E85" s="287"/>
      <c r="G85" s="278"/>
      <c r="H85" s="278"/>
    </row>
    <row r="86" spans="1:8" s="239" customFormat="1" ht="28.5" customHeight="1" x14ac:dyDescent="0.25">
      <c r="A86" s="285"/>
      <c r="B86" s="475" t="s">
        <v>255</v>
      </c>
      <c r="C86" s="475"/>
      <c r="D86" s="475"/>
      <c r="E86" s="475"/>
      <c r="F86" s="475"/>
      <c r="G86" s="278"/>
      <c r="H86" s="278"/>
    </row>
    <row r="87" spans="1:8" s="239" customFormat="1" ht="19.5" customHeight="1" x14ac:dyDescent="0.25">
      <c r="A87" s="468" t="s">
        <v>2</v>
      </c>
      <c r="B87" s="476" t="s">
        <v>226</v>
      </c>
      <c r="C87" s="478" t="s">
        <v>256</v>
      </c>
      <c r="D87" s="480" t="s">
        <v>179</v>
      </c>
      <c r="E87" s="481"/>
      <c r="F87" s="481"/>
      <c r="G87" s="482"/>
      <c r="H87" s="288"/>
    </row>
    <row r="88" spans="1:8" s="239" customFormat="1" ht="45" customHeight="1" x14ac:dyDescent="0.25">
      <c r="A88" s="469"/>
      <c r="B88" s="477"/>
      <c r="C88" s="479"/>
      <c r="D88" s="289" t="s">
        <v>257</v>
      </c>
      <c r="E88" s="289" t="s">
        <v>258</v>
      </c>
      <c r="F88" s="289" t="s">
        <v>259</v>
      </c>
      <c r="G88" s="290" t="s">
        <v>260</v>
      </c>
      <c r="H88" s="291"/>
    </row>
    <row r="89" spans="1:8" s="239" customFormat="1" ht="19.5" customHeight="1" x14ac:dyDescent="0.25">
      <c r="A89" s="279">
        <v>61</v>
      </c>
      <c r="B89" s="292" t="s">
        <v>48</v>
      </c>
      <c r="C89" s="274">
        <f t="shared" ref="C89:C135" si="0">D89+E89+F89+G89</f>
        <v>1100</v>
      </c>
      <c r="D89" s="274">
        <v>410</v>
      </c>
      <c r="E89" s="274">
        <v>0</v>
      </c>
      <c r="F89" s="274">
        <v>640</v>
      </c>
      <c r="G89" s="274">
        <v>50</v>
      </c>
      <c r="H89" s="293"/>
    </row>
    <row r="90" spans="1:8" s="239" customFormat="1" ht="19.5" customHeight="1" x14ac:dyDescent="0.25">
      <c r="A90" s="279">
        <v>59</v>
      </c>
      <c r="B90" s="292" t="s">
        <v>29</v>
      </c>
      <c r="C90" s="274">
        <f t="shared" si="0"/>
        <v>17688</v>
      </c>
      <c r="D90" s="274">
        <v>8488</v>
      </c>
      <c r="E90" s="274">
        <v>0</v>
      </c>
      <c r="F90" s="274">
        <v>4200</v>
      </c>
      <c r="G90" s="274">
        <v>5000</v>
      </c>
      <c r="H90" s="293"/>
    </row>
    <row r="91" spans="1:8" s="239" customFormat="1" x14ac:dyDescent="0.25">
      <c r="A91" s="279">
        <v>63</v>
      </c>
      <c r="B91" s="292" t="s">
        <v>30</v>
      </c>
      <c r="C91" s="274">
        <f t="shared" si="0"/>
        <v>4524</v>
      </c>
      <c r="D91" s="274">
        <v>4163</v>
      </c>
      <c r="E91" s="274">
        <v>0</v>
      </c>
      <c r="F91" s="274">
        <v>104</v>
      </c>
      <c r="G91" s="274">
        <v>257</v>
      </c>
      <c r="H91" s="293"/>
    </row>
    <row r="92" spans="1:8" s="239" customFormat="1" ht="19.5" customHeight="1" x14ac:dyDescent="0.25">
      <c r="A92" s="279">
        <v>65</v>
      </c>
      <c r="B92" s="292" t="s">
        <v>31</v>
      </c>
      <c r="C92" s="274">
        <f t="shared" si="0"/>
        <v>6220</v>
      </c>
      <c r="D92" s="274">
        <v>5050</v>
      </c>
      <c r="E92" s="274">
        <v>0</v>
      </c>
      <c r="F92" s="274">
        <v>450</v>
      </c>
      <c r="G92" s="274">
        <v>720</v>
      </c>
      <c r="H92" s="293"/>
    </row>
    <row r="93" spans="1:8" s="239" customFormat="1" ht="19.5" customHeight="1" x14ac:dyDescent="0.25">
      <c r="A93" s="279">
        <v>67</v>
      </c>
      <c r="B93" s="292" t="s">
        <v>61</v>
      </c>
      <c r="C93" s="274">
        <f t="shared" si="0"/>
        <v>4142</v>
      </c>
      <c r="D93" s="274">
        <v>3414</v>
      </c>
      <c r="E93" s="274">
        <v>0</v>
      </c>
      <c r="F93" s="274">
        <v>631</v>
      </c>
      <c r="G93" s="274">
        <v>97</v>
      </c>
      <c r="H93" s="293"/>
    </row>
    <row r="94" spans="1:8" s="239" customFormat="1" ht="19.5" customHeight="1" x14ac:dyDescent="0.25">
      <c r="A94" s="279">
        <v>69</v>
      </c>
      <c r="B94" s="292" t="s">
        <v>32</v>
      </c>
      <c r="C94" s="274">
        <f t="shared" si="0"/>
        <v>4445</v>
      </c>
      <c r="D94" s="274">
        <v>3294</v>
      </c>
      <c r="E94" s="274">
        <v>0</v>
      </c>
      <c r="F94" s="274">
        <v>522</v>
      </c>
      <c r="G94" s="274">
        <v>629</v>
      </c>
      <c r="H94" s="293"/>
    </row>
    <row r="95" spans="1:8" s="239" customFormat="1" ht="19.5" customHeight="1" x14ac:dyDescent="0.25">
      <c r="A95" s="279">
        <v>71</v>
      </c>
      <c r="B95" s="292" t="s">
        <v>14</v>
      </c>
      <c r="C95" s="274">
        <f t="shared" si="0"/>
        <v>6085</v>
      </c>
      <c r="D95" s="274">
        <v>3328</v>
      </c>
      <c r="E95" s="274">
        <v>0</v>
      </c>
      <c r="F95" s="274">
        <v>2066</v>
      </c>
      <c r="G95" s="274">
        <v>691</v>
      </c>
      <c r="H95" s="293"/>
    </row>
    <row r="96" spans="1:8" s="239" customFormat="1" ht="19.5" customHeight="1" x14ac:dyDescent="0.25">
      <c r="A96" s="279">
        <v>103</v>
      </c>
      <c r="B96" s="292" t="s">
        <v>15</v>
      </c>
      <c r="C96" s="274">
        <f t="shared" si="0"/>
        <v>17600</v>
      </c>
      <c r="D96" s="274">
        <v>11645</v>
      </c>
      <c r="E96" s="274">
        <v>0</v>
      </c>
      <c r="F96" s="274">
        <v>5545</v>
      </c>
      <c r="G96" s="274">
        <v>410</v>
      </c>
      <c r="H96" s="293"/>
    </row>
    <row r="97" spans="1:8" s="239" customFormat="1" ht="19.5" customHeight="1" x14ac:dyDescent="0.25">
      <c r="A97" s="279">
        <v>73</v>
      </c>
      <c r="B97" s="292" t="s">
        <v>17</v>
      </c>
      <c r="C97" s="274">
        <f t="shared" si="0"/>
        <v>2400</v>
      </c>
      <c r="D97" s="274">
        <v>1770</v>
      </c>
      <c r="E97" s="274">
        <v>0</v>
      </c>
      <c r="F97" s="274">
        <v>476</v>
      </c>
      <c r="G97" s="274">
        <v>154</v>
      </c>
      <c r="H97" s="293"/>
    </row>
    <row r="98" spans="1:8" s="239" customFormat="1" ht="19.5" customHeight="1" x14ac:dyDescent="0.25">
      <c r="A98" s="279">
        <v>232</v>
      </c>
      <c r="B98" s="292" t="s">
        <v>55</v>
      </c>
      <c r="C98" s="274">
        <f t="shared" si="0"/>
        <v>15300</v>
      </c>
      <c r="D98" s="274">
        <v>15270</v>
      </c>
      <c r="E98" s="274">
        <v>0</v>
      </c>
      <c r="F98" s="274">
        <v>0</v>
      </c>
      <c r="G98" s="274">
        <v>30</v>
      </c>
      <c r="H98" s="293"/>
    </row>
    <row r="99" spans="1:8" s="239" customFormat="1" ht="19.5" customHeight="1" x14ac:dyDescent="0.25">
      <c r="A99" s="279">
        <v>75</v>
      </c>
      <c r="B99" s="292" t="s">
        <v>62</v>
      </c>
      <c r="C99" s="274">
        <f t="shared" si="0"/>
        <v>5159</v>
      </c>
      <c r="D99" s="274">
        <v>3524</v>
      </c>
      <c r="E99" s="274">
        <v>0</v>
      </c>
      <c r="F99" s="274">
        <v>690</v>
      </c>
      <c r="G99" s="274">
        <v>945</v>
      </c>
      <c r="H99" s="293"/>
    </row>
    <row r="100" spans="1:8" s="239" customFormat="1" ht="19.5" customHeight="1" x14ac:dyDescent="0.25">
      <c r="A100" s="279">
        <v>275</v>
      </c>
      <c r="B100" s="292" t="s">
        <v>51</v>
      </c>
      <c r="C100" s="274">
        <f t="shared" si="0"/>
        <v>2873</v>
      </c>
      <c r="D100" s="274">
        <v>2121</v>
      </c>
      <c r="E100" s="274">
        <v>0</v>
      </c>
      <c r="F100" s="274">
        <v>0</v>
      </c>
      <c r="G100" s="274">
        <v>752</v>
      </c>
      <c r="H100" s="293"/>
    </row>
    <row r="101" spans="1:8" s="239" customFormat="1" ht="19.5" customHeight="1" x14ac:dyDescent="0.25">
      <c r="A101" s="279">
        <v>203</v>
      </c>
      <c r="B101" s="292" t="s">
        <v>33</v>
      </c>
      <c r="C101" s="274">
        <f t="shared" si="0"/>
        <v>2819</v>
      </c>
      <c r="D101" s="274">
        <v>858</v>
      </c>
      <c r="E101" s="274">
        <v>0</v>
      </c>
      <c r="F101" s="274">
        <v>311</v>
      </c>
      <c r="G101" s="274">
        <v>1650</v>
      </c>
      <c r="H101" s="293"/>
    </row>
    <row r="102" spans="1:8" s="239" customFormat="1" ht="19.5" customHeight="1" x14ac:dyDescent="0.25">
      <c r="A102" s="279">
        <v>79</v>
      </c>
      <c r="B102" s="292" t="s">
        <v>34</v>
      </c>
      <c r="C102" s="274">
        <f t="shared" si="0"/>
        <v>4103</v>
      </c>
      <c r="D102" s="274">
        <v>1067</v>
      </c>
      <c r="E102" s="274">
        <v>0</v>
      </c>
      <c r="F102" s="274">
        <v>1666</v>
      </c>
      <c r="G102" s="274">
        <v>1370</v>
      </c>
      <c r="H102" s="293"/>
    </row>
    <row r="103" spans="1:8" s="239" customFormat="1" ht="19.5" customHeight="1" x14ac:dyDescent="0.25">
      <c r="A103" s="279">
        <v>231</v>
      </c>
      <c r="B103" s="292" t="s">
        <v>54</v>
      </c>
      <c r="C103" s="274">
        <f t="shared" si="0"/>
        <v>2722</v>
      </c>
      <c r="D103" s="274">
        <v>1994</v>
      </c>
      <c r="E103" s="274">
        <v>0</v>
      </c>
      <c r="F103" s="274">
        <v>0</v>
      </c>
      <c r="G103" s="274">
        <v>728</v>
      </c>
      <c r="H103" s="293"/>
    </row>
    <row r="104" spans="1:8" s="239" customFormat="1" ht="19.5" customHeight="1" x14ac:dyDescent="0.25">
      <c r="A104" s="279">
        <v>115</v>
      </c>
      <c r="B104" s="292" t="s">
        <v>23</v>
      </c>
      <c r="C104" s="274">
        <f t="shared" si="0"/>
        <v>8019</v>
      </c>
      <c r="D104" s="274">
        <v>2342</v>
      </c>
      <c r="E104" s="274">
        <v>0</v>
      </c>
      <c r="F104" s="274">
        <v>5511</v>
      </c>
      <c r="G104" s="274">
        <v>166</v>
      </c>
      <c r="H104" s="293"/>
    </row>
    <row r="105" spans="1:8" s="239" customFormat="1" ht="19.5" customHeight="1" x14ac:dyDescent="0.25">
      <c r="A105" s="279">
        <v>81</v>
      </c>
      <c r="B105" s="292" t="s">
        <v>35</v>
      </c>
      <c r="C105" s="274">
        <f t="shared" si="0"/>
        <v>1100</v>
      </c>
      <c r="D105" s="274">
        <v>1045</v>
      </c>
      <c r="E105" s="274">
        <v>0</v>
      </c>
      <c r="F105" s="274">
        <v>5</v>
      </c>
      <c r="G105" s="274">
        <v>50</v>
      </c>
      <c r="H105" s="293"/>
    </row>
    <row r="106" spans="1:8" s="239" customFormat="1" ht="19.5" customHeight="1" x14ac:dyDescent="0.25">
      <c r="A106" s="279">
        <v>83</v>
      </c>
      <c r="B106" s="292" t="s">
        <v>26</v>
      </c>
      <c r="C106" s="274">
        <f t="shared" si="0"/>
        <v>2643</v>
      </c>
      <c r="D106" s="274">
        <v>1504</v>
      </c>
      <c r="E106" s="274">
        <v>0</v>
      </c>
      <c r="F106" s="274">
        <v>679</v>
      </c>
      <c r="G106" s="274">
        <v>460</v>
      </c>
      <c r="H106" s="293"/>
    </row>
    <row r="107" spans="1:8" s="239" customFormat="1" ht="19.5" customHeight="1" x14ac:dyDescent="0.25">
      <c r="A107" s="279">
        <v>85</v>
      </c>
      <c r="B107" s="292" t="s">
        <v>36</v>
      </c>
      <c r="C107" s="274">
        <f t="shared" si="0"/>
        <v>1000</v>
      </c>
      <c r="D107" s="274">
        <v>436</v>
      </c>
      <c r="E107" s="274">
        <v>0</v>
      </c>
      <c r="F107" s="274">
        <v>514</v>
      </c>
      <c r="G107" s="274">
        <v>50</v>
      </c>
      <c r="H107" s="293"/>
    </row>
    <row r="108" spans="1:8" s="239" customFormat="1" ht="19.5" customHeight="1" x14ac:dyDescent="0.25">
      <c r="A108" s="279">
        <v>87</v>
      </c>
      <c r="B108" s="292" t="s">
        <v>28</v>
      </c>
      <c r="C108" s="274">
        <f t="shared" si="0"/>
        <v>5300</v>
      </c>
      <c r="D108" s="274">
        <v>4300</v>
      </c>
      <c r="E108" s="274">
        <v>0</v>
      </c>
      <c r="F108" s="274">
        <v>560</v>
      </c>
      <c r="G108" s="274">
        <v>440</v>
      </c>
      <c r="H108" s="293"/>
    </row>
    <row r="109" spans="1:8" s="239" customFormat="1" ht="19.5" customHeight="1" x14ac:dyDescent="0.25">
      <c r="A109" s="279">
        <v>144</v>
      </c>
      <c r="B109" s="292" t="s">
        <v>24</v>
      </c>
      <c r="C109" s="274">
        <f t="shared" si="0"/>
        <v>38251</v>
      </c>
      <c r="D109" s="274">
        <v>400</v>
      </c>
      <c r="E109" s="274">
        <v>0</v>
      </c>
      <c r="F109" s="274">
        <v>37851</v>
      </c>
      <c r="G109" s="274">
        <v>0</v>
      </c>
      <c r="H109" s="293"/>
    </row>
    <row r="110" spans="1:8" s="239" customFormat="1" ht="19.5" customHeight="1" x14ac:dyDescent="0.25">
      <c r="A110" s="279">
        <v>292</v>
      </c>
      <c r="B110" s="292" t="s">
        <v>22</v>
      </c>
      <c r="C110" s="274">
        <f t="shared" si="0"/>
        <v>1300</v>
      </c>
      <c r="D110" s="274">
        <v>0</v>
      </c>
      <c r="E110" s="274">
        <v>0</v>
      </c>
      <c r="F110" s="274">
        <v>1300</v>
      </c>
      <c r="G110" s="274">
        <v>0</v>
      </c>
      <c r="H110" s="293"/>
    </row>
    <row r="111" spans="1:8" s="239" customFormat="1" ht="21.75" customHeight="1" x14ac:dyDescent="0.25">
      <c r="A111" s="279">
        <v>29</v>
      </c>
      <c r="B111" s="292" t="s">
        <v>185</v>
      </c>
      <c r="C111" s="274">
        <f t="shared" si="0"/>
        <v>3200</v>
      </c>
      <c r="D111" s="274">
        <v>3200</v>
      </c>
      <c r="E111" s="274">
        <v>0</v>
      </c>
      <c r="F111" s="274">
        <v>0</v>
      </c>
      <c r="G111" s="274">
        <v>0</v>
      </c>
      <c r="H111" s="293"/>
    </row>
    <row r="112" spans="1:8" s="239" customFormat="1" ht="21.75" customHeight="1" x14ac:dyDescent="0.25">
      <c r="A112" s="279">
        <v>33</v>
      </c>
      <c r="B112" s="292" t="s">
        <v>49</v>
      </c>
      <c r="C112" s="274">
        <f t="shared" si="0"/>
        <v>65220</v>
      </c>
      <c r="D112" s="274">
        <v>16068</v>
      </c>
      <c r="E112" s="274">
        <v>16622</v>
      </c>
      <c r="F112" s="274">
        <v>31381</v>
      </c>
      <c r="G112" s="274">
        <v>1149</v>
      </c>
      <c r="H112" s="293"/>
    </row>
    <row r="113" spans="1:8" s="239" customFormat="1" ht="21.75" customHeight="1" x14ac:dyDescent="0.25">
      <c r="A113" s="279">
        <v>35</v>
      </c>
      <c r="B113" s="292" t="s">
        <v>50</v>
      </c>
      <c r="C113" s="274">
        <f t="shared" si="0"/>
        <v>12050</v>
      </c>
      <c r="D113" s="274">
        <v>11616</v>
      </c>
      <c r="E113" s="274">
        <v>0</v>
      </c>
      <c r="F113" s="274">
        <v>0</v>
      </c>
      <c r="G113" s="274">
        <v>434</v>
      </c>
      <c r="H113" s="293"/>
    </row>
    <row r="114" spans="1:8" s="239" customFormat="1" ht="21.75" customHeight="1" x14ac:dyDescent="0.25">
      <c r="A114" s="279">
        <v>140</v>
      </c>
      <c r="B114" s="292" t="s">
        <v>488</v>
      </c>
      <c r="C114" s="274">
        <f t="shared" si="0"/>
        <v>64440</v>
      </c>
      <c r="D114" s="274">
        <v>32160</v>
      </c>
      <c r="E114" s="274">
        <v>9442</v>
      </c>
      <c r="F114" s="274">
        <v>22838</v>
      </c>
      <c r="G114" s="274">
        <v>0</v>
      </c>
      <c r="H114" s="293"/>
    </row>
    <row r="115" spans="1:8" s="239" customFormat="1" ht="21.75" customHeight="1" x14ac:dyDescent="0.25">
      <c r="A115" s="279">
        <v>49</v>
      </c>
      <c r="B115" s="292" t="s">
        <v>18</v>
      </c>
      <c r="C115" s="274">
        <f t="shared" si="0"/>
        <v>10050</v>
      </c>
      <c r="D115" s="274">
        <v>10050</v>
      </c>
      <c r="E115" s="274">
        <v>0</v>
      </c>
      <c r="F115" s="274">
        <v>0</v>
      </c>
      <c r="G115" s="274">
        <v>0</v>
      </c>
      <c r="H115" s="293"/>
    </row>
    <row r="116" spans="1:8" s="239" customFormat="1" ht="21.75" customHeight="1" x14ac:dyDescent="0.25">
      <c r="A116" s="279">
        <v>142</v>
      </c>
      <c r="B116" s="292" t="s">
        <v>454</v>
      </c>
      <c r="C116" s="274">
        <f t="shared" si="0"/>
        <v>3300</v>
      </c>
      <c r="D116" s="274">
        <v>0</v>
      </c>
      <c r="E116" s="274">
        <v>0</v>
      </c>
      <c r="F116" s="274">
        <v>3300</v>
      </c>
      <c r="G116" s="274">
        <v>0</v>
      </c>
      <c r="H116" s="293"/>
    </row>
    <row r="117" spans="1:8" s="239" customFormat="1" ht="21.75" customHeight="1" x14ac:dyDescent="0.25">
      <c r="A117" s="279">
        <v>129</v>
      </c>
      <c r="B117" s="292" t="s">
        <v>224</v>
      </c>
      <c r="C117" s="274">
        <f t="shared" si="0"/>
        <v>5786</v>
      </c>
      <c r="D117" s="274">
        <v>0</v>
      </c>
      <c r="E117" s="274">
        <v>0</v>
      </c>
      <c r="F117" s="274">
        <v>5786</v>
      </c>
      <c r="G117" s="274">
        <v>0</v>
      </c>
      <c r="H117" s="293"/>
    </row>
    <row r="118" spans="1:8" s="239" customFormat="1" ht="21.75" customHeight="1" x14ac:dyDescent="0.25">
      <c r="A118" s="279">
        <v>133</v>
      </c>
      <c r="B118" s="294" t="s">
        <v>455</v>
      </c>
      <c r="C118" s="274">
        <f t="shared" si="0"/>
        <v>4203</v>
      </c>
      <c r="D118" s="274">
        <v>437</v>
      </c>
      <c r="E118" s="274">
        <v>0</v>
      </c>
      <c r="F118" s="274">
        <v>3766</v>
      </c>
      <c r="G118" s="274">
        <v>0</v>
      </c>
      <c r="H118" s="293"/>
    </row>
    <row r="119" spans="1:8" s="239" customFormat="1" ht="21.75" customHeight="1" x14ac:dyDescent="0.25">
      <c r="A119" s="279">
        <v>135</v>
      </c>
      <c r="B119" s="292" t="s">
        <v>238</v>
      </c>
      <c r="C119" s="274">
        <f t="shared" si="0"/>
        <v>10250</v>
      </c>
      <c r="D119" s="274">
        <v>6514</v>
      </c>
      <c r="E119" s="274">
        <v>0</v>
      </c>
      <c r="F119" s="274">
        <v>3736</v>
      </c>
      <c r="G119" s="274">
        <v>0</v>
      </c>
      <c r="H119" s="293"/>
    </row>
    <row r="120" spans="1:8" s="239" customFormat="1" ht="21.75" customHeight="1" x14ac:dyDescent="0.25">
      <c r="A120" s="279">
        <v>4</v>
      </c>
      <c r="B120" s="292" t="s">
        <v>53</v>
      </c>
      <c r="C120" s="274">
        <f t="shared" si="0"/>
        <v>12203</v>
      </c>
      <c r="D120" s="274">
        <v>12203</v>
      </c>
      <c r="E120" s="274">
        <v>0</v>
      </c>
      <c r="F120" s="274">
        <v>0</v>
      </c>
      <c r="G120" s="274">
        <v>0</v>
      </c>
      <c r="H120" s="293"/>
    </row>
    <row r="121" spans="1:8" s="239" customFormat="1" ht="21.75" customHeight="1" x14ac:dyDescent="0.25">
      <c r="A121" s="279">
        <v>10</v>
      </c>
      <c r="B121" s="292" t="s">
        <v>239</v>
      </c>
      <c r="C121" s="274">
        <f t="shared" si="0"/>
        <v>37069</v>
      </c>
      <c r="D121" s="274">
        <v>23618</v>
      </c>
      <c r="E121" s="274">
        <v>7446</v>
      </c>
      <c r="F121" s="274">
        <v>0</v>
      </c>
      <c r="G121" s="274">
        <v>6005</v>
      </c>
      <c r="H121" s="293"/>
    </row>
    <row r="122" spans="1:8" s="239" customFormat="1" ht="21.75" customHeight="1" x14ac:dyDescent="0.25">
      <c r="A122" s="279">
        <v>13</v>
      </c>
      <c r="B122" s="292" t="s">
        <v>63</v>
      </c>
      <c r="C122" s="274">
        <f t="shared" si="0"/>
        <v>7769</v>
      </c>
      <c r="D122" s="274">
        <v>7628</v>
      </c>
      <c r="E122" s="274">
        <v>0</v>
      </c>
      <c r="F122" s="274">
        <v>0</v>
      </c>
      <c r="G122" s="274">
        <v>141</v>
      </c>
      <c r="H122" s="293"/>
    </row>
    <row r="123" spans="1:8" s="239" customFormat="1" ht="21.75" customHeight="1" x14ac:dyDescent="0.25">
      <c r="A123" s="279">
        <v>23</v>
      </c>
      <c r="B123" s="292" t="s">
        <v>240</v>
      </c>
      <c r="C123" s="274">
        <f t="shared" si="0"/>
        <v>9088</v>
      </c>
      <c r="D123" s="274">
        <v>0</v>
      </c>
      <c r="E123" s="274">
        <v>0</v>
      </c>
      <c r="F123" s="274">
        <v>0</v>
      </c>
      <c r="G123" s="274">
        <v>9088</v>
      </c>
      <c r="H123" s="293"/>
    </row>
    <row r="124" spans="1:8" s="239" customFormat="1" ht="21.75" customHeight="1" x14ac:dyDescent="0.25">
      <c r="A124" s="279">
        <v>27</v>
      </c>
      <c r="B124" s="292" t="s">
        <v>241</v>
      </c>
      <c r="C124" s="274">
        <f t="shared" si="0"/>
        <v>3144</v>
      </c>
      <c r="D124" s="274">
        <v>0</v>
      </c>
      <c r="E124" s="274">
        <v>0</v>
      </c>
      <c r="F124" s="274">
        <v>0</v>
      </c>
      <c r="G124" s="274">
        <v>3144</v>
      </c>
      <c r="H124" s="293"/>
    </row>
    <row r="125" spans="1:8" s="239" customFormat="1" ht="21.75" customHeight="1" x14ac:dyDescent="0.25">
      <c r="A125" s="279">
        <v>20</v>
      </c>
      <c r="B125" s="292" t="s">
        <v>242</v>
      </c>
      <c r="C125" s="274">
        <f t="shared" si="0"/>
        <v>3490</v>
      </c>
      <c r="D125" s="274">
        <v>0</v>
      </c>
      <c r="E125" s="274">
        <v>0</v>
      </c>
      <c r="F125" s="274">
        <v>0</v>
      </c>
      <c r="G125" s="274">
        <v>3490</v>
      </c>
      <c r="H125" s="293"/>
    </row>
    <row r="126" spans="1:8" s="239" customFormat="1" ht="21.75" customHeight="1" x14ac:dyDescent="0.25">
      <c r="A126" s="279">
        <v>28</v>
      </c>
      <c r="B126" s="292" t="s">
        <v>11</v>
      </c>
      <c r="C126" s="274">
        <f t="shared" si="0"/>
        <v>10800</v>
      </c>
      <c r="D126" s="274">
        <v>0</v>
      </c>
      <c r="E126" s="274">
        <v>0</v>
      </c>
      <c r="F126" s="274">
        <v>10800</v>
      </c>
      <c r="G126" s="274">
        <v>0</v>
      </c>
      <c r="H126" s="293"/>
    </row>
    <row r="127" spans="1:8" s="239" customFormat="1" ht="21.75" customHeight="1" x14ac:dyDescent="0.25">
      <c r="A127" s="279">
        <v>139</v>
      </c>
      <c r="B127" s="292" t="s">
        <v>82</v>
      </c>
      <c r="C127" s="274">
        <f t="shared" si="0"/>
        <v>37700</v>
      </c>
      <c r="D127" s="274">
        <v>0</v>
      </c>
      <c r="E127" s="274">
        <v>15364</v>
      </c>
      <c r="F127" s="274">
        <v>22336</v>
      </c>
      <c r="G127" s="274">
        <v>0</v>
      </c>
      <c r="H127" s="293"/>
    </row>
    <row r="128" spans="1:8" s="239" customFormat="1" ht="21.75" customHeight="1" x14ac:dyDescent="0.25">
      <c r="A128" s="279">
        <v>354</v>
      </c>
      <c r="B128" s="292" t="s">
        <v>59</v>
      </c>
      <c r="C128" s="274">
        <f t="shared" si="0"/>
        <v>64897</v>
      </c>
      <c r="D128" s="274">
        <v>44094</v>
      </c>
      <c r="E128" s="274">
        <v>6421</v>
      </c>
      <c r="F128" s="274">
        <v>9709</v>
      </c>
      <c r="G128" s="274">
        <v>4673</v>
      </c>
      <c r="H128" s="293"/>
    </row>
    <row r="129" spans="1:8" s="239" customFormat="1" ht="21.75" customHeight="1" x14ac:dyDescent="0.25">
      <c r="A129" s="272">
        <v>466</v>
      </c>
      <c r="B129" s="273" t="s">
        <v>262</v>
      </c>
      <c r="C129" s="274">
        <f t="shared" si="0"/>
        <v>3300</v>
      </c>
      <c r="D129" s="274">
        <v>0</v>
      </c>
      <c r="E129" s="274">
        <v>0</v>
      </c>
      <c r="F129" s="274">
        <v>3300</v>
      </c>
      <c r="G129" s="274">
        <v>0</v>
      </c>
      <c r="H129" s="293"/>
    </row>
    <row r="130" spans="1:8" s="239" customFormat="1" ht="21.75" customHeight="1" x14ac:dyDescent="0.25">
      <c r="A130" s="279">
        <v>173</v>
      </c>
      <c r="B130" s="292" t="s">
        <v>42</v>
      </c>
      <c r="C130" s="274">
        <f t="shared" si="0"/>
        <v>16300</v>
      </c>
      <c r="D130" s="274">
        <v>0</v>
      </c>
      <c r="E130" s="274">
        <v>0</v>
      </c>
      <c r="F130" s="274">
        <v>16300</v>
      </c>
      <c r="G130" s="274">
        <v>0</v>
      </c>
      <c r="H130" s="293"/>
    </row>
    <row r="131" spans="1:8" s="239" customFormat="1" ht="21.75" customHeight="1" x14ac:dyDescent="0.25">
      <c r="A131" s="279">
        <v>151</v>
      </c>
      <c r="B131" s="292" t="s">
        <v>66</v>
      </c>
      <c r="C131" s="274">
        <f t="shared" si="0"/>
        <v>251</v>
      </c>
      <c r="D131" s="274">
        <v>61</v>
      </c>
      <c r="E131" s="274">
        <v>0</v>
      </c>
      <c r="F131" s="274">
        <v>0</v>
      </c>
      <c r="G131" s="274">
        <v>190</v>
      </c>
      <c r="H131" s="293"/>
    </row>
    <row r="132" spans="1:8" s="239" customFormat="1" ht="21.75" customHeight="1" x14ac:dyDescent="0.25">
      <c r="A132" s="279">
        <v>281</v>
      </c>
      <c r="B132" s="292" t="s">
        <v>244</v>
      </c>
      <c r="C132" s="274">
        <f t="shared" si="0"/>
        <v>270</v>
      </c>
      <c r="D132" s="274">
        <v>0</v>
      </c>
      <c r="E132" s="274">
        <v>0</v>
      </c>
      <c r="F132" s="274">
        <v>0</v>
      </c>
      <c r="G132" s="274">
        <v>270</v>
      </c>
      <c r="H132" s="293"/>
    </row>
    <row r="133" spans="1:8" s="239" customFormat="1" ht="21.75" customHeight="1" x14ac:dyDescent="0.25">
      <c r="A133" s="279">
        <v>294</v>
      </c>
      <c r="B133" s="292" t="s">
        <v>58</v>
      </c>
      <c r="C133" s="274">
        <f t="shared" si="0"/>
        <v>50</v>
      </c>
      <c r="D133" s="274">
        <v>50</v>
      </c>
      <c r="E133" s="274">
        <v>0</v>
      </c>
      <c r="F133" s="274">
        <v>0</v>
      </c>
      <c r="G133" s="274">
        <v>0</v>
      </c>
      <c r="H133" s="293"/>
    </row>
    <row r="134" spans="1:8" s="239" customFormat="1" ht="21.75" customHeight="1" x14ac:dyDescent="0.25">
      <c r="A134" s="279">
        <v>205</v>
      </c>
      <c r="B134" s="292" t="s">
        <v>243</v>
      </c>
      <c r="C134" s="274">
        <f t="shared" si="0"/>
        <v>193</v>
      </c>
      <c r="D134" s="274">
        <v>193</v>
      </c>
      <c r="E134" s="274">
        <v>0</v>
      </c>
      <c r="F134" s="274">
        <v>0</v>
      </c>
      <c r="G134" s="274">
        <v>0</v>
      </c>
      <c r="H134" s="293"/>
    </row>
    <row r="135" spans="1:8" s="239" customFormat="1" ht="21.75" customHeight="1" x14ac:dyDescent="0.25">
      <c r="A135" s="279">
        <v>355</v>
      </c>
      <c r="B135" s="292" t="s">
        <v>216</v>
      </c>
      <c r="C135" s="274">
        <f t="shared" si="0"/>
        <v>5050</v>
      </c>
      <c r="D135" s="274">
        <v>0</v>
      </c>
      <c r="E135" s="274">
        <v>5050</v>
      </c>
      <c r="F135" s="274">
        <v>0</v>
      </c>
      <c r="G135" s="274">
        <v>0</v>
      </c>
      <c r="H135" s="293"/>
    </row>
    <row r="136" spans="1:8" s="239" customFormat="1" ht="21.75" customHeight="1" x14ac:dyDescent="0.25">
      <c r="A136" s="279"/>
      <c r="B136" s="295" t="s">
        <v>43</v>
      </c>
      <c r="C136" s="296">
        <f>SUM(C89:C135)</f>
        <v>544866</v>
      </c>
      <c r="D136" s="296">
        <f>SUM(D89:D135)</f>
        <v>244315</v>
      </c>
      <c r="E136" s="296">
        <f>SUM(E89:E135)</f>
        <v>60345</v>
      </c>
      <c r="F136" s="296">
        <f>SUM(F89:F135)</f>
        <v>196973</v>
      </c>
      <c r="G136" s="296">
        <f>SUM(G89:G135)</f>
        <v>43233</v>
      </c>
      <c r="H136" s="287"/>
    </row>
    <row r="137" spans="1:8" s="239" customFormat="1" ht="21.75" customHeight="1" x14ac:dyDescent="0.25">
      <c r="A137" s="285"/>
      <c r="B137" s="297"/>
      <c r="C137" s="238"/>
      <c r="D137" s="238"/>
      <c r="E137" s="238"/>
    </row>
    <row r="138" spans="1:8" s="239" customFormat="1" ht="27" customHeight="1" x14ac:dyDescent="0.25">
      <c r="A138" s="298"/>
      <c r="B138" s="475" t="s">
        <v>263</v>
      </c>
      <c r="C138" s="475"/>
      <c r="D138" s="475"/>
      <c r="E138" s="475"/>
      <c r="F138" s="475"/>
      <c r="G138" s="299"/>
      <c r="H138" s="299"/>
    </row>
    <row r="139" spans="1:8" s="239" customFormat="1" ht="21.75" customHeight="1" x14ac:dyDescent="0.25">
      <c r="A139" s="468" t="s">
        <v>2</v>
      </c>
      <c r="B139" s="476" t="s">
        <v>226</v>
      </c>
      <c r="C139" s="483" t="s">
        <v>264</v>
      </c>
      <c r="D139" s="483" t="s">
        <v>235</v>
      </c>
      <c r="E139" s="483" t="s">
        <v>265</v>
      </c>
      <c r="F139" s="300" t="s">
        <v>179</v>
      </c>
      <c r="G139" s="278"/>
      <c r="H139" s="278"/>
    </row>
    <row r="140" spans="1:8" s="239" customFormat="1" ht="45" customHeight="1" x14ac:dyDescent="0.25">
      <c r="A140" s="469"/>
      <c r="B140" s="477"/>
      <c r="C140" s="484"/>
      <c r="D140" s="484"/>
      <c r="E140" s="484"/>
      <c r="F140" s="301" t="s">
        <v>266</v>
      </c>
      <c r="G140" s="302"/>
      <c r="H140" s="302"/>
    </row>
    <row r="141" spans="1:8" s="239" customFormat="1" ht="21.75" customHeight="1" x14ac:dyDescent="0.25">
      <c r="A141" s="303">
        <v>61</v>
      </c>
      <c r="B141" s="304" t="s">
        <v>48</v>
      </c>
      <c r="C141" s="274">
        <v>65</v>
      </c>
      <c r="D141" s="274">
        <v>50</v>
      </c>
      <c r="E141" s="274">
        <v>5033</v>
      </c>
      <c r="F141" s="305"/>
    </row>
    <row r="142" spans="1:8" s="239" customFormat="1" ht="23.25" customHeight="1" x14ac:dyDescent="0.25">
      <c r="A142" s="303">
        <v>59</v>
      </c>
      <c r="B142" s="304" t="s">
        <v>29</v>
      </c>
      <c r="C142" s="274">
        <v>4138</v>
      </c>
      <c r="D142" s="274">
        <v>5000</v>
      </c>
      <c r="E142" s="274">
        <v>14240</v>
      </c>
      <c r="F142" s="274">
        <v>1500</v>
      </c>
    </row>
    <row r="143" spans="1:8" s="239" customFormat="1" ht="24.75" customHeight="1" x14ac:dyDescent="0.25">
      <c r="A143" s="303">
        <v>63</v>
      </c>
      <c r="B143" s="304" t="s">
        <v>30</v>
      </c>
      <c r="C143" s="274">
        <v>334</v>
      </c>
      <c r="D143" s="274">
        <v>257</v>
      </c>
      <c r="E143" s="274">
        <v>4864</v>
      </c>
      <c r="F143" s="305"/>
    </row>
    <row r="144" spans="1:8" s="239" customFormat="1" ht="14.25" customHeight="1" x14ac:dyDescent="0.25">
      <c r="A144" s="303">
        <v>65</v>
      </c>
      <c r="B144" s="304" t="s">
        <v>31</v>
      </c>
      <c r="C144" s="274">
        <v>4299</v>
      </c>
      <c r="D144" s="274">
        <v>720</v>
      </c>
      <c r="E144" s="274">
        <v>7703</v>
      </c>
      <c r="F144" s="305"/>
    </row>
    <row r="145" spans="1:6" s="239" customFormat="1" x14ac:dyDescent="0.25">
      <c r="A145" s="303">
        <v>67</v>
      </c>
      <c r="B145" s="304" t="s">
        <v>61</v>
      </c>
      <c r="C145" s="274">
        <v>3516</v>
      </c>
      <c r="D145" s="274">
        <v>97</v>
      </c>
      <c r="E145" s="274">
        <v>754</v>
      </c>
      <c r="F145" s="305"/>
    </row>
    <row r="146" spans="1:6" s="239" customFormat="1" ht="21" customHeight="1" x14ac:dyDescent="0.25">
      <c r="A146" s="303">
        <v>69</v>
      </c>
      <c r="B146" s="304" t="s">
        <v>32</v>
      </c>
      <c r="C146" s="274">
        <v>4116</v>
      </c>
      <c r="D146" s="274">
        <v>629</v>
      </c>
      <c r="E146" s="274">
        <v>2623</v>
      </c>
      <c r="F146" s="274">
        <v>100</v>
      </c>
    </row>
    <row r="147" spans="1:6" s="239" customFormat="1" ht="21" customHeight="1" x14ac:dyDescent="0.25">
      <c r="A147" s="303">
        <v>71</v>
      </c>
      <c r="B147" s="304" t="s">
        <v>14</v>
      </c>
      <c r="C147" s="274">
        <v>5633</v>
      </c>
      <c r="D147" s="274">
        <v>691</v>
      </c>
      <c r="E147" s="274">
        <v>6185</v>
      </c>
      <c r="F147" s="305"/>
    </row>
    <row r="148" spans="1:6" s="239" customFormat="1" ht="21" customHeight="1" x14ac:dyDescent="0.25">
      <c r="A148" s="303">
        <v>103</v>
      </c>
      <c r="B148" s="304" t="s">
        <v>15</v>
      </c>
      <c r="C148" s="274">
        <v>11848</v>
      </c>
      <c r="D148" s="274">
        <v>410</v>
      </c>
      <c r="E148" s="274">
        <v>26605</v>
      </c>
      <c r="F148" s="305"/>
    </row>
    <row r="149" spans="1:6" s="239" customFormat="1" ht="21" customHeight="1" x14ac:dyDescent="0.25">
      <c r="A149" s="303">
        <v>73</v>
      </c>
      <c r="B149" s="304" t="s">
        <v>17</v>
      </c>
      <c r="C149" s="274">
        <v>3948</v>
      </c>
      <c r="D149" s="274">
        <v>154</v>
      </c>
      <c r="E149" s="274">
        <v>5054</v>
      </c>
      <c r="F149" s="305"/>
    </row>
    <row r="150" spans="1:6" s="239" customFormat="1" ht="21.75" customHeight="1" x14ac:dyDescent="0.25">
      <c r="A150" s="303">
        <v>232</v>
      </c>
      <c r="B150" s="304" t="s">
        <v>55</v>
      </c>
      <c r="C150" s="274">
        <v>3301</v>
      </c>
      <c r="D150" s="274">
        <v>30</v>
      </c>
      <c r="E150" s="274">
        <v>2580</v>
      </c>
      <c r="F150" s="305"/>
    </row>
    <row r="151" spans="1:6" s="239" customFormat="1" ht="21" customHeight="1" x14ac:dyDescent="0.25">
      <c r="A151" s="303">
        <v>75</v>
      </c>
      <c r="B151" s="304" t="s">
        <v>62</v>
      </c>
      <c r="C151" s="274">
        <v>1508</v>
      </c>
      <c r="D151" s="274">
        <v>945</v>
      </c>
      <c r="E151" s="274">
        <v>4896</v>
      </c>
      <c r="F151" s="305"/>
    </row>
    <row r="152" spans="1:6" s="239" customFormat="1" ht="21" customHeight="1" x14ac:dyDescent="0.25">
      <c r="A152" s="303">
        <v>275</v>
      </c>
      <c r="B152" s="304" t="s">
        <v>51</v>
      </c>
      <c r="C152" s="274">
        <v>598</v>
      </c>
      <c r="D152" s="274">
        <v>752</v>
      </c>
      <c r="E152" s="274">
        <v>226</v>
      </c>
      <c r="F152" s="305"/>
    </row>
    <row r="153" spans="1:6" s="239" customFormat="1" ht="21" customHeight="1" x14ac:dyDescent="0.25">
      <c r="A153" s="303">
        <v>203</v>
      </c>
      <c r="B153" s="304" t="s">
        <v>33</v>
      </c>
      <c r="C153" s="274">
        <v>435</v>
      </c>
      <c r="D153" s="274">
        <v>1650</v>
      </c>
      <c r="E153" s="274">
        <v>5581</v>
      </c>
      <c r="F153" s="305"/>
    </row>
    <row r="154" spans="1:6" s="239" customFormat="1" ht="21" customHeight="1" x14ac:dyDescent="0.25">
      <c r="A154" s="303">
        <v>79</v>
      </c>
      <c r="B154" s="304" t="s">
        <v>34</v>
      </c>
      <c r="C154" s="274">
        <v>1750</v>
      </c>
      <c r="D154" s="274">
        <v>1370</v>
      </c>
      <c r="E154" s="274">
        <v>9325</v>
      </c>
      <c r="F154" s="305"/>
    </row>
    <row r="155" spans="1:6" s="239" customFormat="1" ht="21" customHeight="1" x14ac:dyDescent="0.25">
      <c r="A155" s="303">
        <v>231</v>
      </c>
      <c r="B155" s="304" t="s">
        <v>54</v>
      </c>
      <c r="C155" s="274">
        <v>3177</v>
      </c>
      <c r="D155" s="274">
        <v>728</v>
      </c>
      <c r="E155" s="274">
        <v>4920</v>
      </c>
      <c r="F155" s="305"/>
    </row>
    <row r="156" spans="1:6" s="239" customFormat="1" ht="21" customHeight="1" x14ac:dyDescent="0.25">
      <c r="A156" s="303">
        <v>115</v>
      </c>
      <c r="B156" s="304" t="s">
        <v>23</v>
      </c>
      <c r="C156" s="274">
        <v>4968</v>
      </c>
      <c r="D156" s="274">
        <v>166</v>
      </c>
      <c r="E156" s="274">
        <v>11810</v>
      </c>
      <c r="F156" s="305"/>
    </row>
    <row r="157" spans="1:6" s="239" customFormat="1" ht="21" customHeight="1" x14ac:dyDescent="0.25">
      <c r="A157" s="303">
        <v>81</v>
      </c>
      <c r="B157" s="304" t="s">
        <v>35</v>
      </c>
      <c r="C157" s="274">
        <v>409</v>
      </c>
      <c r="D157" s="274">
        <v>50</v>
      </c>
      <c r="E157" s="274">
        <v>3571</v>
      </c>
      <c r="F157" s="305"/>
    </row>
    <row r="158" spans="1:6" s="239" customFormat="1" ht="21" customHeight="1" x14ac:dyDescent="0.25">
      <c r="A158" s="303">
        <v>83</v>
      </c>
      <c r="B158" s="304" t="s">
        <v>26</v>
      </c>
      <c r="C158" s="274">
        <v>1505</v>
      </c>
      <c r="D158" s="274">
        <v>460</v>
      </c>
      <c r="E158" s="274">
        <v>4838</v>
      </c>
      <c r="F158" s="274">
        <v>935</v>
      </c>
    </row>
    <row r="159" spans="1:6" s="239" customFormat="1" ht="21" customHeight="1" x14ac:dyDescent="0.25">
      <c r="A159" s="303">
        <v>85</v>
      </c>
      <c r="B159" s="304" t="s">
        <v>36</v>
      </c>
      <c r="C159" s="274">
        <v>709</v>
      </c>
      <c r="D159" s="274">
        <v>50</v>
      </c>
      <c r="E159" s="274">
        <v>7422</v>
      </c>
      <c r="F159" s="305"/>
    </row>
    <row r="160" spans="1:6" s="239" customFormat="1" ht="21" customHeight="1" x14ac:dyDescent="0.25">
      <c r="A160" s="303">
        <v>87</v>
      </c>
      <c r="B160" s="304" t="s">
        <v>28</v>
      </c>
      <c r="C160" s="274">
        <v>3470</v>
      </c>
      <c r="D160" s="274">
        <v>440</v>
      </c>
      <c r="E160" s="274">
        <v>7160</v>
      </c>
      <c r="F160" s="305"/>
    </row>
    <row r="161" spans="1:8" s="239" customFormat="1" ht="21" customHeight="1" x14ac:dyDescent="0.25">
      <c r="A161" s="303">
        <v>33</v>
      </c>
      <c r="B161" s="304" t="s">
        <v>49</v>
      </c>
      <c r="C161" s="274">
        <v>3000</v>
      </c>
      <c r="D161" s="274">
        <v>1149</v>
      </c>
      <c r="E161" s="274">
        <v>5500</v>
      </c>
      <c r="F161" s="305"/>
    </row>
    <row r="162" spans="1:8" s="239" customFormat="1" ht="21" customHeight="1" x14ac:dyDescent="0.25">
      <c r="A162" s="303">
        <v>35</v>
      </c>
      <c r="B162" s="304" t="s">
        <v>50</v>
      </c>
      <c r="C162" s="274">
        <v>2400</v>
      </c>
      <c r="D162" s="274">
        <v>434</v>
      </c>
      <c r="E162" s="274">
        <v>15402</v>
      </c>
      <c r="F162" s="305"/>
    </row>
    <row r="163" spans="1:8" s="239" customFormat="1" ht="21" customHeight="1" x14ac:dyDescent="0.25">
      <c r="A163" s="306">
        <v>10</v>
      </c>
      <c r="B163" s="307" t="s">
        <v>239</v>
      </c>
      <c r="C163" s="274">
        <v>7606</v>
      </c>
      <c r="D163" s="274">
        <v>6005</v>
      </c>
      <c r="E163" s="274">
        <v>17937</v>
      </c>
      <c r="F163" s="305"/>
    </row>
    <row r="164" spans="1:8" s="239" customFormat="1" ht="21" customHeight="1" x14ac:dyDescent="0.25">
      <c r="A164" s="306">
        <v>13</v>
      </c>
      <c r="B164" s="307" t="s">
        <v>63</v>
      </c>
      <c r="C164" s="274">
        <v>2132</v>
      </c>
      <c r="D164" s="274">
        <v>141</v>
      </c>
      <c r="E164" s="274">
        <v>6469</v>
      </c>
      <c r="F164" s="305"/>
    </row>
    <row r="165" spans="1:8" s="239" customFormat="1" ht="21" customHeight="1" x14ac:dyDescent="0.25">
      <c r="A165" s="306">
        <v>23</v>
      </c>
      <c r="B165" s="307" t="s">
        <v>240</v>
      </c>
      <c r="C165" s="274">
        <v>2969</v>
      </c>
      <c r="D165" s="274">
        <v>9088</v>
      </c>
      <c r="E165" s="274">
        <v>23200</v>
      </c>
      <c r="F165" s="305"/>
    </row>
    <row r="166" spans="1:8" s="239" customFormat="1" ht="21" customHeight="1" x14ac:dyDescent="0.25">
      <c r="A166" s="306">
        <v>27</v>
      </c>
      <c r="B166" s="307" t="s">
        <v>241</v>
      </c>
      <c r="C166" s="274">
        <v>13152</v>
      </c>
      <c r="D166" s="274">
        <v>3144</v>
      </c>
      <c r="E166" s="274">
        <v>80994</v>
      </c>
      <c r="F166" s="274">
        <v>200</v>
      </c>
    </row>
    <row r="167" spans="1:8" s="239" customFormat="1" ht="21" customHeight="1" x14ac:dyDescent="0.25">
      <c r="A167" s="306">
        <v>20</v>
      </c>
      <c r="B167" s="307" t="s">
        <v>242</v>
      </c>
      <c r="C167" s="274">
        <v>12400</v>
      </c>
      <c r="D167" s="274">
        <v>3490</v>
      </c>
      <c r="E167" s="274">
        <v>41470</v>
      </c>
      <c r="F167" s="305"/>
    </row>
    <row r="168" spans="1:8" s="239" customFormat="1" ht="21" customHeight="1" x14ac:dyDescent="0.25">
      <c r="A168" s="306">
        <v>354</v>
      </c>
      <c r="B168" s="307" t="s">
        <v>59</v>
      </c>
      <c r="C168" s="274">
        <v>21710</v>
      </c>
      <c r="D168" s="274">
        <v>4673</v>
      </c>
      <c r="E168" s="274">
        <v>66389</v>
      </c>
      <c r="F168" s="305"/>
    </row>
    <row r="169" spans="1:8" s="239" customFormat="1" ht="21" customHeight="1" x14ac:dyDescent="0.25">
      <c r="A169" s="306">
        <v>151</v>
      </c>
      <c r="B169" s="307" t="s">
        <v>66</v>
      </c>
      <c r="C169" s="274">
        <v>80</v>
      </c>
      <c r="D169" s="274">
        <v>190</v>
      </c>
      <c r="E169" s="274">
        <v>1215</v>
      </c>
      <c r="F169" s="305"/>
    </row>
    <row r="170" spans="1:8" s="239" customFormat="1" ht="21" customHeight="1" x14ac:dyDescent="0.25">
      <c r="A170" s="306">
        <v>281</v>
      </c>
      <c r="B170" s="307" t="s">
        <v>244</v>
      </c>
      <c r="C170" s="274">
        <v>0</v>
      </c>
      <c r="D170" s="274">
        <v>270</v>
      </c>
      <c r="E170" s="274">
        <v>0</v>
      </c>
      <c r="F170" s="305"/>
    </row>
    <row r="171" spans="1:8" s="239" customFormat="1" ht="21" customHeight="1" x14ac:dyDescent="0.25">
      <c r="A171" s="306">
        <v>399</v>
      </c>
      <c r="B171" s="307" t="s">
        <v>247</v>
      </c>
      <c r="C171" s="274">
        <v>0</v>
      </c>
      <c r="D171" s="274">
        <v>0</v>
      </c>
      <c r="E171" s="274">
        <v>235</v>
      </c>
      <c r="F171" s="305"/>
    </row>
    <row r="172" spans="1:8" s="239" customFormat="1" ht="21" customHeight="1" x14ac:dyDescent="0.25">
      <c r="A172" s="308"/>
      <c r="B172" s="295" t="s">
        <v>43</v>
      </c>
      <c r="C172" s="309">
        <f>SUM(C141:C171)</f>
        <v>125176</v>
      </c>
      <c r="D172" s="309">
        <f>SUM(D141:D171)</f>
        <v>43233</v>
      </c>
      <c r="E172" s="309">
        <f>SUM(E141:E171)</f>
        <v>394201</v>
      </c>
      <c r="F172" s="309">
        <f>SUM(F141:F171)</f>
        <v>2735</v>
      </c>
      <c r="G172" s="310"/>
      <c r="H172" s="310"/>
    </row>
    <row r="173" spans="1:8" s="239" customFormat="1" ht="21.75" customHeight="1" x14ac:dyDescent="0.25">
      <c r="A173" s="285"/>
      <c r="B173" s="297"/>
      <c r="C173" s="238"/>
      <c r="D173" s="238"/>
      <c r="G173" s="238"/>
      <c r="H173" s="238"/>
    </row>
    <row r="174" spans="1:8" s="239" customFormat="1" ht="21.75" customHeight="1" x14ac:dyDescent="0.25">
      <c r="A174" s="285"/>
      <c r="B174" s="475" t="s">
        <v>267</v>
      </c>
      <c r="C174" s="475"/>
      <c r="D174" s="475"/>
      <c r="E174" s="475"/>
      <c r="F174" s="311"/>
      <c r="G174" s="238"/>
      <c r="H174" s="238"/>
    </row>
    <row r="175" spans="1:8" s="239" customFormat="1" ht="20.25" customHeight="1" x14ac:dyDescent="0.25">
      <c r="A175" s="279" t="s">
        <v>2</v>
      </c>
      <c r="B175" s="312" t="s">
        <v>226</v>
      </c>
      <c r="C175" s="313" t="s">
        <v>268</v>
      </c>
      <c r="D175" s="238"/>
      <c r="E175" s="238"/>
      <c r="F175" s="314"/>
      <c r="G175" s="238"/>
      <c r="H175" s="238"/>
    </row>
    <row r="176" spans="1:8" s="239" customFormat="1" ht="23.25" customHeight="1" x14ac:dyDescent="0.25">
      <c r="A176" s="279">
        <v>354</v>
      </c>
      <c r="B176" s="315" t="s">
        <v>59</v>
      </c>
      <c r="C176" s="316">
        <v>2010</v>
      </c>
      <c r="D176" s="238"/>
      <c r="E176" s="238"/>
      <c r="G176" s="238"/>
      <c r="H176" s="238"/>
    </row>
    <row r="177" spans="1:8" s="239" customFormat="1" ht="21.75" customHeight="1" x14ac:dyDescent="0.25">
      <c r="A177" s="306">
        <v>463</v>
      </c>
      <c r="B177" s="317" t="s">
        <v>231</v>
      </c>
      <c r="C177" s="318">
        <v>452</v>
      </c>
      <c r="D177" s="238"/>
      <c r="E177" s="238"/>
      <c r="G177" s="238"/>
      <c r="H177" s="238"/>
    </row>
    <row r="178" spans="1:8" s="239" customFormat="1" ht="21.75" customHeight="1" x14ac:dyDescent="0.25">
      <c r="A178" s="319"/>
      <c r="B178" s="320"/>
      <c r="C178" s="238"/>
      <c r="D178" s="238"/>
      <c r="E178" s="238"/>
      <c r="G178" s="238"/>
      <c r="H178" s="238"/>
    </row>
    <row r="179" spans="1:8" s="239" customFormat="1" ht="24.75" customHeight="1" x14ac:dyDescent="0.25">
      <c r="A179" s="489" t="s">
        <v>269</v>
      </c>
      <c r="B179" s="489"/>
      <c r="C179" s="489"/>
      <c r="D179" s="489"/>
      <c r="E179" s="489"/>
      <c r="G179" s="238"/>
      <c r="H179" s="238"/>
    </row>
    <row r="180" spans="1:8" s="239" customFormat="1" ht="33.75" customHeight="1" x14ac:dyDescent="0.25">
      <c r="A180" s="279" t="s">
        <v>2</v>
      </c>
      <c r="B180" s="312" t="s">
        <v>226</v>
      </c>
      <c r="C180" s="313" t="s">
        <v>270</v>
      </c>
      <c r="D180" s="303" t="s">
        <v>271</v>
      </c>
      <c r="E180" s="238"/>
      <c r="G180" s="238"/>
      <c r="H180" s="238"/>
    </row>
    <row r="181" spans="1:8" s="239" customFormat="1" ht="25.5" customHeight="1" x14ac:dyDescent="0.25">
      <c r="A181" s="279">
        <v>59</v>
      </c>
      <c r="B181" s="321" t="s">
        <v>134</v>
      </c>
      <c r="C181" s="322">
        <v>3168</v>
      </c>
      <c r="D181" s="222">
        <v>1610</v>
      </c>
      <c r="E181" s="238"/>
      <c r="G181" s="238"/>
      <c r="H181" s="238"/>
    </row>
    <row r="182" spans="1:8" s="239" customFormat="1" ht="25.5" customHeight="1" x14ac:dyDescent="0.25">
      <c r="A182" s="306">
        <v>354</v>
      </c>
      <c r="B182" s="323" t="s">
        <v>59</v>
      </c>
      <c r="C182" s="322">
        <v>1700</v>
      </c>
      <c r="D182" s="222">
        <v>585</v>
      </c>
      <c r="E182" s="238"/>
      <c r="G182" s="238"/>
      <c r="H182" s="238"/>
    </row>
    <row r="183" spans="1:8" s="239" customFormat="1" x14ac:dyDescent="0.25">
      <c r="A183" s="285"/>
      <c r="B183" s="297"/>
      <c r="C183" s="238"/>
      <c r="D183" s="238"/>
      <c r="E183" s="238"/>
      <c r="G183" s="238"/>
      <c r="H183" s="238"/>
    </row>
    <row r="184" spans="1:8" s="239" customFormat="1" ht="44.25" customHeight="1" x14ac:dyDescent="0.25">
      <c r="A184" s="324"/>
      <c r="B184" s="490" t="s">
        <v>272</v>
      </c>
      <c r="C184" s="490"/>
      <c r="D184" s="490"/>
      <c r="E184" s="490"/>
      <c r="G184" s="238"/>
      <c r="H184" s="238"/>
    </row>
    <row r="185" spans="1:8" s="239" customFormat="1" ht="31.5" customHeight="1" x14ac:dyDescent="0.25">
      <c r="A185" s="279" t="s">
        <v>2</v>
      </c>
      <c r="B185" s="325" t="s">
        <v>273</v>
      </c>
      <c r="C185" s="326" t="s">
        <v>270</v>
      </c>
      <c r="D185" s="238"/>
      <c r="E185" s="238"/>
      <c r="G185" s="238"/>
      <c r="H185" s="238"/>
    </row>
    <row r="186" spans="1:8" s="239" customFormat="1" ht="25.5" customHeight="1" x14ac:dyDescent="0.3">
      <c r="A186" s="279">
        <v>140</v>
      </c>
      <c r="B186" s="327" t="s">
        <v>488</v>
      </c>
      <c r="C186" s="328">
        <v>360</v>
      </c>
      <c r="D186" s="329"/>
      <c r="E186" s="238"/>
      <c r="G186" s="238"/>
      <c r="H186" s="238"/>
    </row>
    <row r="187" spans="1:8" s="239" customFormat="1" x14ac:dyDescent="0.25">
      <c r="A187" s="285"/>
      <c r="B187" s="297"/>
      <c r="C187" s="238"/>
      <c r="D187" s="238"/>
      <c r="E187" s="238"/>
      <c r="G187" s="238"/>
      <c r="H187" s="238"/>
    </row>
    <row r="188" spans="1:8" s="239" customFormat="1" ht="42.75" customHeight="1" x14ac:dyDescent="0.25">
      <c r="A188" s="285"/>
      <c r="B188" s="488" t="s">
        <v>274</v>
      </c>
      <c r="C188" s="488"/>
      <c r="D188" s="488"/>
      <c r="E188" s="488"/>
      <c r="G188" s="238"/>
      <c r="H188" s="238"/>
    </row>
    <row r="189" spans="1:8" s="239" customFormat="1" ht="25.5" customHeight="1" x14ac:dyDescent="0.25">
      <c r="A189" s="279" t="s">
        <v>2</v>
      </c>
      <c r="B189" s="330" t="s">
        <v>226</v>
      </c>
      <c r="C189" s="325" t="s">
        <v>270</v>
      </c>
      <c r="D189" s="331"/>
      <c r="G189" s="238"/>
      <c r="H189" s="238"/>
    </row>
    <row r="190" spans="1:8" s="239" customFormat="1" x14ac:dyDescent="0.25">
      <c r="A190" s="279">
        <v>71</v>
      </c>
      <c r="B190" s="315" t="s">
        <v>275</v>
      </c>
      <c r="C190" s="332">
        <v>1422</v>
      </c>
      <c r="D190" s="238"/>
      <c r="G190" s="238"/>
      <c r="H190" s="238"/>
    </row>
    <row r="191" spans="1:8" s="239" customFormat="1" x14ac:dyDescent="0.25">
      <c r="A191" s="279">
        <v>83</v>
      </c>
      <c r="B191" s="315" t="s">
        <v>276</v>
      </c>
      <c r="C191" s="332">
        <v>663</v>
      </c>
      <c r="D191" s="238"/>
      <c r="G191" s="238"/>
      <c r="H191" s="238"/>
    </row>
    <row r="192" spans="1:8" s="239" customFormat="1" x14ac:dyDescent="0.25">
      <c r="A192" s="279">
        <v>231</v>
      </c>
      <c r="B192" s="315" t="s">
        <v>277</v>
      </c>
      <c r="C192" s="318">
        <v>1680</v>
      </c>
      <c r="D192" s="238"/>
      <c r="E192" s="238"/>
      <c r="G192" s="238"/>
      <c r="H192" s="238"/>
    </row>
    <row r="193" spans="1:8" s="239" customFormat="1" x14ac:dyDescent="0.25">
      <c r="A193" s="279">
        <v>232</v>
      </c>
      <c r="B193" s="315" t="s">
        <v>55</v>
      </c>
      <c r="C193" s="332">
        <v>3172</v>
      </c>
      <c r="D193" s="238"/>
      <c r="G193" s="238"/>
      <c r="H193" s="238"/>
    </row>
    <row r="194" spans="1:8" s="239" customFormat="1" x14ac:dyDescent="0.25">
      <c r="A194" s="279">
        <v>87</v>
      </c>
      <c r="B194" s="333" t="s">
        <v>278</v>
      </c>
      <c r="C194" s="318">
        <v>3352</v>
      </c>
      <c r="D194" s="238"/>
      <c r="E194" s="238"/>
      <c r="G194" s="238"/>
      <c r="H194" s="238"/>
    </row>
    <row r="195" spans="1:8" s="239" customFormat="1" x14ac:dyDescent="0.25">
      <c r="A195" s="279">
        <v>63</v>
      </c>
      <c r="B195" s="333" t="s">
        <v>30</v>
      </c>
      <c r="C195" s="318">
        <v>200</v>
      </c>
      <c r="D195" s="238"/>
      <c r="E195" s="238"/>
      <c r="G195" s="238"/>
      <c r="H195" s="238"/>
    </row>
    <row r="196" spans="1:8" s="239" customFormat="1" x14ac:dyDescent="0.25">
      <c r="A196" s="285"/>
      <c r="B196" s="334"/>
      <c r="C196" s="335"/>
      <c r="D196" s="238"/>
      <c r="E196" s="238"/>
      <c r="G196" s="238"/>
      <c r="H196" s="238"/>
    </row>
    <row r="197" spans="1:8" s="239" customFormat="1" ht="28.5" customHeight="1" x14ac:dyDescent="0.25">
      <c r="A197" s="285"/>
      <c r="B197" s="475" t="s">
        <v>456</v>
      </c>
      <c r="C197" s="475"/>
      <c r="D197" s="475"/>
      <c r="E197" s="475"/>
      <c r="G197" s="238"/>
      <c r="H197" s="238"/>
    </row>
    <row r="198" spans="1:8" s="239" customFormat="1" ht="32.25" customHeight="1" x14ac:dyDescent="0.25">
      <c r="A198" s="279" t="s">
        <v>2</v>
      </c>
      <c r="B198" s="336" t="s">
        <v>226</v>
      </c>
      <c r="C198" s="337" t="s">
        <v>457</v>
      </c>
      <c r="E198" s="238"/>
      <c r="F198" s="238"/>
    </row>
    <row r="199" spans="1:8" s="239" customFormat="1" ht="19.5" customHeight="1" x14ac:dyDescent="0.25">
      <c r="A199" s="279">
        <v>140</v>
      </c>
      <c r="B199" s="338" t="s">
        <v>489</v>
      </c>
      <c r="C199" s="332">
        <v>4800</v>
      </c>
      <c r="E199" s="238"/>
      <c r="F199" s="238"/>
    </row>
    <row r="200" spans="1:8" s="239" customFormat="1" ht="19.5" customHeight="1" x14ac:dyDescent="0.25">
      <c r="A200" s="279">
        <v>35</v>
      </c>
      <c r="B200" s="339" t="s">
        <v>279</v>
      </c>
      <c r="C200" s="332">
        <v>17650</v>
      </c>
      <c r="E200" s="238"/>
      <c r="F200" s="238"/>
    </row>
    <row r="201" spans="1:8" s="239" customFormat="1" ht="30" x14ac:dyDescent="0.25">
      <c r="A201" s="279">
        <v>35</v>
      </c>
      <c r="B201" s="339" t="s">
        <v>280</v>
      </c>
      <c r="C201" s="332">
        <v>0</v>
      </c>
      <c r="E201" s="238"/>
      <c r="F201" s="238"/>
    </row>
    <row r="202" spans="1:8" s="239" customFormat="1" ht="15" customHeight="1" x14ac:dyDescent="0.25">
      <c r="A202" s="279">
        <v>144</v>
      </c>
      <c r="B202" s="340" t="s">
        <v>281</v>
      </c>
      <c r="C202" s="332">
        <v>3115</v>
      </c>
      <c r="E202" s="238"/>
      <c r="F202" s="238"/>
    </row>
    <row r="203" spans="1:8" s="239" customFormat="1" ht="31.5" customHeight="1" x14ac:dyDescent="0.25">
      <c r="A203" s="279"/>
      <c r="B203" s="340" t="s">
        <v>458</v>
      </c>
      <c r="C203" s="332">
        <v>198.33333333333337</v>
      </c>
      <c r="E203" s="238"/>
      <c r="F203" s="238"/>
    </row>
    <row r="204" spans="1:8" s="239" customFormat="1" x14ac:dyDescent="0.25">
      <c r="A204" s="279">
        <v>146</v>
      </c>
      <c r="B204" s="340" t="s">
        <v>237</v>
      </c>
      <c r="C204" s="332">
        <v>3876</v>
      </c>
      <c r="E204" s="238"/>
      <c r="F204" s="238"/>
    </row>
    <row r="205" spans="1:8" s="239" customFormat="1" x14ac:dyDescent="0.25">
      <c r="A205" s="279"/>
      <c r="B205" s="341" t="s">
        <v>43</v>
      </c>
      <c r="C205" s="308">
        <f>SUM(C199:C204)</f>
        <v>29639.333333333332</v>
      </c>
      <c r="E205" s="238"/>
      <c r="F205" s="238"/>
    </row>
    <row r="206" spans="1:8" s="239" customFormat="1" ht="24" customHeight="1" x14ac:dyDescent="0.25">
      <c r="A206" s="285"/>
      <c r="B206" s="334"/>
      <c r="C206" s="335"/>
      <c r="D206" s="238"/>
      <c r="E206" s="238"/>
      <c r="G206" s="238"/>
      <c r="H206" s="238"/>
    </row>
    <row r="207" spans="1:8" s="239" customFormat="1" ht="27" customHeight="1" x14ac:dyDescent="0.25">
      <c r="A207" s="285"/>
      <c r="B207" s="475" t="s">
        <v>483</v>
      </c>
      <c r="C207" s="475"/>
      <c r="D207" s="475"/>
      <c r="E207" s="475"/>
      <c r="G207" s="238"/>
      <c r="H207" s="238"/>
    </row>
    <row r="208" spans="1:8" s="239" customFormat="1" ht="96" customHeight="1" x14ac:dyDescent="0.25">
      <c r="A208" s="496" t="s">
        <v>2</v>
      </c>
      <c r="B208" s="502" t="s">
        <v>226</v>
      </c>
      <c r="C208" s="228" t="s">
        <v>486</v>
      </c>
      <c r="D208" s="228" t="s">
        <v>484</v>
      </c>
      <c r="E208" s="228" t="s">
        <v>485</v>
      </c>
      <c r="F208" s="228" t="s">
        <v>491</v>
      </c>
      <c r="G208" s="238"/>
      <c r="H208" s="238"/>
    </row>
    <row r="209" spans="1:8" s="239" customFormat="1" ht="33.75" customHeight="1" x14ac:dyDescent="0.25">
      <c r="A209" s="496"/>
      <c r="B209" s="502"/>
      <c r="C209" s="503" t="s">
        <v>457</v>
      </c>
      <c r="D209" s="504"/>
      <c r="E209" s="504"/>
      <c r="F209" s="505"/>
      <c r="G209" s="238"/>
      <c r="H209" s="238"/>
    </row>
    <row r="210" spans="1:8" s="239" customFormat="1" ht="15.75" customHeight="1" x14ac:dyDescent="0.25">
      <c r="A210" s="14">
        <v>59</v>
      </c>
      <c r="B210" s="342" t="s">
        <v>29</v>
      </c>
      <c r="C210" s="222">
        <v>135</v>
      </c>
      <c r="D210" s="222"/>
      <c r="E210" s="222"/>
      <c r="F210" s="222"/>
      <c r="G210" s="238"/>
      <c r="H210" s="238"/>
    </row>
    <row r="211" spans="1:8" s="239" customFormat="1" ht="15.75" customHeight="1" x14ac:dyDescent="0.25">
      <c r="A211" s="14">
        <v>115</v>
      </c>
      <c r="B211" s="342" t="s">
        <v>23</v>
      </c>
      <c r="C211" s="222">
        <v>135</v>
      </c>
      <c r="D211" s="222"/>
      <c r="E211" s="222"/>
      <c r="F211" s="222"/>
      <c r="G211" s="238"/>
      <c r="H211" s="238"/>
    </row>
    <row r="212" spans="1:8" s="239" customFormat="1" ht="15.75" customHeight="1" x14ac:dyDescent="0.25">
      <c r="A212" s="14">
        <v>87</v>
      </c>
      <c r="B212" s="342" t="s">
        <v>28</v>
      </c>
      <c r="C212" s="222">
        <v>90</v>
      </c>
      <c r="D212" s="222">
        <v>40</v>
      </c>
      <c r="E212" s="222"/>
      <c r="F212" s="222"/>
      <c r="G212" s="238"/>
      <c r="H212" s="238"/>
    </row>
    <row r="213" spans="1:8" s="239" customFormat="1" ht="15.75" customHeight="1" x14ac:dyDescent="0.25">
      <c r="A213" s="14">
        <v>23</v>
      </c>
      <c r="B213" s="342" t="s">
        <v>33</v>
      </c>
      <c r="C213" s="222"/>
      <c r="D213" s="222">
        <v>15</v>
      </c>
      <c r="E213" s="222"/>
      <c r="F213" s="222">
        <v>30</v>
      </c>
      <c r="G213" s="238"/>
      <c r="H213" s="238"/>
    </row>
    <row r="214" spans="1:8" s="239" customFormat="1" ht="15.75" customHeight="1" x14ac:dyDescent="0.25">
      <c r="A214" s="14">
        <v>231</v>
      </c>
      <c r="B214" s="342" t="s">
        <v>54</v>
      </c>
      <c r="C214" s="222"/>
      <c r="D214" s="222">
        <v>10</v>
      </c>
      <c r="E214" s="222">
        <v>10</v>
      </c>
      <c r="F214" s="222">
        <v>20</v>
      </c>
      <c r="G214" s="238"/>
      <c r="H214" s="238"/>
    </row>
    <row r="215" spans="1:8" s="239" customFormat="1" ht="15.75" customHeight="1" x14ac:dyDescent="0.25">
      <c r="A215" s="14">
        <v>69</v>
      </c>
      <c r="B215" s="342" t="s">
        <v>32</v>
      </c>
      <c r="C215" s="222"/>
      <c r="D215" s="222"/>
      <c r="E215" s="222"/>
      <c r="F215" s="222">
        <v>10</v>
      </c>
      <c r="G215" s="238"/>
      <c r="H215" s="238"/>
    </row>
    <row r="216" spans="1:8" s="239" customFormat="1" ht="15.75" customHeight="1" x14ac:dyDescent="0.25">
      <c r="A216" s="14">
        <v>85</v>
      </c>
      <c r="B216" s="342" t="s">
        <v>36</v>
      </c>
      <c r="C216" s="222"/>
      <c r="D216" s="222"/>
      <c r="E216" s="222"/>
      <c r="F216" s="222">
        <v>10</v>
      </c>
      <c r="G216" s="238"/>
      <c r="H216" s="238"/>
    </row>
    <row r="217" spans="1:8" s="239" customFormat="1" ht="15.75" customHeight="1" x14ac:dyDescent="0.25">
      <c r="A217" s="14">
        <v>33</v>
      </c>
      <c r="B217" s="342" t="s">
        <v>49</v>
      </c>
      <c r="C217" s="222">
        <v>480</v>
      </c>
      <c r="D217" s="222"/>
      <c r="E217" s="222"/>
      <c r="F217" s="222"/>
      <c r="G217" s="238"/>
      <c r="H217" s="238"/>
    </row>
    <row r="218" spans="1:8" s="239" customFormat="1" ht="15.75" customHeight="1" x14ac:dyDescent="0.25">
      <c r="A218" s="14">
        <v>133</v>
      </c>
      <c r="B218" s="342" t="s">
        <v>83</v>
      </c>
      <c r="C218" s="222">
        <v>420</v>
      </c>
      <c r="D218" s="222"/>
      <c r="E218" s="222"/>
      <c r="F218" s="222"/>
      <c r="G218" s="238"/>
      <c r="H218" s="238"/>
    </row>
    <row r="219" spans="1:8" s="239" customFormat="1" ht="15.75" customHeight="1" x14ac:dyDescent="0.25">
      <c r="A219" s="14">
        <v>146</v>
      </c>
      <c r="B219" s="342" t="s">
        <v>20</v>
      </c>
      <c r="C219" s="222">
        <v>180</v>
      </c>
      <c r="D219" s="222">
        <v>10</v>
      </c>
      <c r="E219" s="222"/>
      <c r="F219" s="222"/>
      <c r="G219" s="238"/>
      <c r="H219" s="238"/>
    </row>
    <row r="220" spans="1:8" s="239" customFormat="1" ht="15.75" customHeight="1" x14ac:dyDescent="0.25">
      <c r="A220" s="14">
        <v>144</v>
      </c>
      <c r="B220" s="342" t="s">
        <v>24</v>
      </c>
      <c r="C220" s="222">
        <v>840</v>
      </c>
      <c r="D220" s="222">
        <v>120</v>
      </c>
      <c r="E220" s="222"/>
      <c r="F220" s="222"/>
      <c r="G220" s="238"/>
      <c r="H220" s="238"/>
    </row>
    <row r="221" spans="1:8" s="239" customFormat="1" ht="15.75" customHeight="1" x14ac:dyDescent="0.25">
      <c r="A221" s="14">
        <v>173</v>
      </c>
      <c r="B221" s="342" t="s">
        <v>42</v>
      </c>
      <c r="C221" s="222">
        <v>925</v>
      </c>
      <c r="D221" s="222"/>
      <c r="E221" s="222"/>
      <c r="F221" s="222"/>
      <c r="G221" s="238"/>
      <c r="H221" s="238"/>
    </row>
    <row r="222" spans="1:8" s="239" customFormat="1" ht="15.75" customHeight="1" x14ac:dyDescent="0.25">
      <c r="A222" s="14">
        <v>354</v>
      </c>
      <c r="B222" s="342" t="s">
        <v>59</v>
      </c>
      <c r="C222" s="222">
        <v>773</v>
      </c>
      <c r="D222" s="222"/>
      <c r="E222" s="222"/>
      <c r="F222" s="222"/>
      <c r="G222" s="238"/>
      <c r="H222" s="238"/>
    </row>
    <row r="223" spans="1:8" s="239" customFormat="1" ht="15.75" customHeight="1" x14ac:dyDescent="0.25">
      <c r="A223" s="14">
        <v>4</v>
      </c>
      <c r="B223" s="342" t="s">
        <v>53</v>
      </c>
      <c r="C223" s="222">
        <v>420</v>
      </c>
      <c r="D223" s="222">
        <v>20</v>
      </c>
      <c r="E223" s="222"/>
      <c r="F223" s="222">
        <v>10</v>
      </c>
      <c r="G223" s="238"/>
      <c r="H223" s="238"/>
    </row>
    <row r="224" spans="1:8" s="239" customFormat="1" ht="15.75" customHeight="1" x14ac:dyDescent="0.25">
      <c r="A224" s="14">
        <v>10</v>
      </c>
      <c r="B224" s="342" t="s">
        <v>88</v>
      </c>
      <c r="C224" s="222">
        <v>540</v>
      </c>
      <c r="D224" s="222">
        <v>30</v>
      </c>
      <c r="E224" s="222">
        <v>20</v>
      </c>
      <c r="F224" s="222">
        <v>10</v>
      </c>
      <c r="G224" s="238"/>
      <c r="H224" s="238"/>
    </row>
    <row r="225" spans="1:8" s="239" customFormat="1" ht="25.5" customHeight="1" x14ac:dyDescent="0.25">
      <c r="A225" s="14">
        <v>140</v>
      </c>
      <c r="B225" s="342" t="s">
        <v>488</v>
      </c>
      <c r="C225" s="222">
        <v>565</v>
      </c>
      <c r="D225" s="222"/>
      <c r="E225" s="222">
        <v>64</v>
      </c>
      <c r="F225" s="222"/>
      <c r="G225" s="238"/>
      <c r="H225" s="238"/>
    </row>
    <row r="226" spans="1:8" s="239" customFormat="1" ht="18.75" customHeight="1" x14ac:dyDescent="0.25">
      <c r="A226" s="197">
        <v>75</v>
      </c>
      <c r="B226" s="343" t="s">
        <v>62</v>
      </c>
      <c r="C226" s="222"/>
      <c r="D226" s="222"/>
      <c r="E226" s="222">
        <v>40</v>
      </c>
      <c r="F226" s="222">
        <v>50</v>
      </c>
      <c r="G226" s="238"/>
      <c r="H226" s="238"/>
    </row>
    <row r="227" spans="1:8" s="239" customFormat="1" ht="18.75" customHeight="1" x14ac:dyDescent="0.25">
      <c r="A227" s="197">
        <v>71</v>
      </c>
      <c r="B227" s="343" t="s">
        <v>14</v>
      </c>
      <c r="C227" s="222"/>
      <c r="D227" s="222">
        <v>10</v>
      </c>
      <c r="E227" s="222"/>
      <c r="F227" s="222">
        <v>10</v>
      </c>
      <c r="G227" s="238"/>
      <c r="H227" s="238"/>
    </row>
    <row r="228" spans="1:8" s="239" customFormat="1" ht="18.75" customHeight="1" x14ac:dyDescent="0.25">
      <c r="A228" s="197">
        <v>63</v>
      </c>
      <c r="B228" s="343" t="s">
        <v>30</v>
      </c>
      <c r="C228" s="222"/>
      <c r="D228" s="222"/>
      <c r="E228" s="222"/>
      <c r="F228" s="222">
        <v>30</v>
      </c>
      <c r="G228" s="238"/>
      <c r="H228" s="238"/>
    </row>
    <row r="229" spans="1:8" s="239" customFormat="1" ht="25.5" customHeight="1" x14ac:dyDescent="0.25">
      <c r="A229" s="285"/>
      <c r="B229" s="334"/>
      <c r="C229" s="335"/>
      <c r="D229" s="238"/>
      <c r="E229" s="238"/>
      <c r="G229" s="238"/>
      <c r="H229" s="238"/>
    </row>
    <row r="230" spans="1:8" s="239" customFormat="1" ht="25.5" customHeight="1" x14ac:dyDescent="0.25">
      <c r="A230" s="285"/>
      <c r="B230" s="475" t="s">
        <v>460</v>
      </c>
      <c r="C230" s="475"/>
      <c r="D230" s="475"/>
      <c r="E230" s="475"/>
      <c r="G230" s="238"/>
      <c r="H230" s="238"/>
    </row>
    <row r="231" spans="1:8" s="239" customFormat="1" ht="39" customHeight="1" x14ac:dyDescent="0.25">
      <c r="A231" s="279" t="s">
        <v>2</v>
      </c>
      <c r="B231" s="336" t="s">
        <v>226</v>
      </c>
      <c r="C231" s="337" t="s">
        <v>457</v>
      </c>
      <c r="D231" s="222" t="s">
        <v>271</v>
      </c>
      <c r="E231" s="238"/>
      <c r="G231" s="238"/>
      <c r="H231" s="238"/>
    </row>
    <row r="232" spans="1:8" s="239" customFormat="1" ht="25.5" customHeight="1" x14ac:dyDescent="0.25">
      <c r="A232" s="344">
        <v>144</v>
      </c>
      <c r="B232" s="345" t="s">
        <v>281</v>
      </c>
      <c r="C232" s="222">
        <v>10918</v>
      </c>
      <c r="D232" s="222">
        <v>1075</v>
      </c>
      <c r="E232" s="238"/>
      <c r="G232" s="238"/>
      <c r="H232" s="238"/>
    </row>
    <row r="233" spans="1:8" s="239" customFormat="1" ht="25.5" customHeight="1" x14ac:dyDescent="0.25">
      <c r="A233" s="282"/>
      <c r="B233" s="346"/>
      <c r="C233" s="335"/>
      <c r="D233" s="238"/>
      <c r="E233" s="238"/>
      <c r="G233" s="238"/>
      <c r="H233" s="238"/>
    </row>
    <row r="234" spans="1:8" s="239" customFormat="1" ht="24" customHeight="1" x14ac:dyDescent="0.25">
      <c r="A234" s="285"/>
      <c r="B234" s="491" t="s">
        <v>282</v>
      </c>
      <c r="C234" s="491"/>
      <c r="D234" s="491"/>
      <c r="E234" s="475"/>
      <c r="G234" s="238"/>
      <c r="H234" s="238"/>
    </row>
    <row r="235" spans="1:8" s="239" customFormat="1" ht="45" customHeight="1" x14ac:dyDescent="0.25">
      <c r="A235" s="279" t="s">
        <v>2</v>
      </c>
      <c r="B235" s="325" t="s">
        <v>283</v>
      </c>
      <c r="C235" s="325" t="s">
        <v>284</v>
      </c>
      <c r="D235" s="326" t="s">
        <v>285</v>
      </c>
      <c r="F235" s="238"/>
      <c r="G235" s="238"/>
      <c r="H235" s="238"/>
    </row>
    <row r="236" spans="1:8" s="239" customFormat="1" ht="15" customHeight="1" x14ac:dyDescent="0.25">
      <c r="A236" s="279">
        <v>79</v>
      </c>
      <c r="B236" s="347" t="s">
        <v>286</v>
      </c>
      <c r="C236" s="492" t="s">
        <v>282</v>
      </c>
      <c r="D236" s="220">
        <v>1579</v>
      </c>
      <c r="E236" s="238"/>
      <c r="F236" s="238"/>
      <c r="G236" s="238"/>
      <c r="H236" s="238"/>
    </row>
    <row r="237" spans="1:8" s="239" customFormat="1" ht="15" customHeight="1" x14ac:dyDescent="0.25">
      <c r="A237" s="279">
        <v>87</v>
      </c>
      <c r="B237" s="348" t="s">
        <v>278</v>
      </c>
      <c r="C237" s="492"/>
      <c r="D237" s="220">
        <v>1705</v>
      </c>
      <c r="E237" s="238"/>
      <c r="F237" s="238"/>
      <c r="G237" s="238"/>
      <c r="H237" s="238"/>
    </row>
    <row r="238" spans="1:8" s="239" customFormat="1" ht="15" customHeight="1" x14ac:dyDescent="0.25">
      <c r="A238" s="279">
        <v>59</v>
      </c>
      <c r="B238" s="348" t="s">
        <v>287</v>
      </c>
      <c r="C238" s="492"/>
      <c r="D238" s="220">
        <v>2985</v>
      </c>
      <c r="E238" s="238"/>
      <c r="F238" s="238"/>
      <c r="G238" s="238"/>
      <c r="H238" s="238"/>
    </row>
    <row r="239" spans="1:8" s="239" customFormat="1" ht="15" customHeight="1" x14ac:dyDescent="0.25">
      <c r="A239" s="279">
        <v>59</v>
      </c>
      <c r="B239" s="348" t="s">
        <v>288</v>
      </c>
      <c r="C239" s="492"/>
      <c r="D239" s="220">
        <v>4425</v>
      </c>
      <c r="E239" s="238"/>
      <c r="F239" s="238"/>
      <c r="G239" s="238"/>
      <c r="H239" s="238"/>
    </row>
    <row r="240" spans="1:8" s="239" customFormat="1" ht="15" customHeight="1" x14ac:dyDescent="0.25">
      <c r="A240" s="279">
        <v>203</v>
      </c>
      <c r="B240" s="348" t="s">
        <v>289</v>
      </c>
      <c r="C240" s="492"/>
      <c r="D240" s="220">
        <v>821</v>
      </c>
      <c r="E240" s="238"/>
      <c r="F240" s="238"/>
      <c r="G240" s="238"/>
      <c r="H240" s="238"/>
    </row>
    <row r="241" spans="1:8" s="239" customFormat="1" ht="15" customHeight="1" x14ac:dyDescent="0.25">
      <c r="A241" s="279">
        <v>69</v>
      </c>
      <c r="B241" s="349" t="s">
        <v>290</v>
      </c>
      <c r="C241" s="492"/>
      <c r="D241" s="220">
        <v>684</v>
      </c>
      <c r="E241" s="238"/>
      <c r="F241" s="238"/>
      <c r="G241" s="238"/>
      <c r="H241" s="238"/>
    </row>
    <row r="242" spans="1:8" s="239" customFormat="1" ht="15" customHeight="1" x14ac:dyDescent="0.25">
      <c r="A242" s="279">
        <v>144</v>
      </c>
      <c r="B242" s="348" t="s">
        <v>281</v>
      </c>
      <c r="C242" s="492"/>
      <c r="D242" s="220">
        <v>79</v>
      </c>
      <c r="E242" s="238"/>
      <c r="F242" s="238"/>
      <c r="G242" s="238"/>
      <c r="H242" s="238"/>
    </row>
    <row r="243" spans="1:8" s="239" customFormat="1" ht="15" customHeight="1" x14ac:dyDescent="0.25">
      <c r="A243" s="279">
        <v>85</v>
      </c>
      <c r="B243" s="348" t="s">
        <v>291</v>
      </c>
      <c r="C243" s="492"/>
      <c r="D243" s="220">
        <v>496</v>
      </c>
      <c r="E243" s="238"/>
      <c r="F243" s="238"/>
      <c r="G243" s="238"/>
      <c r="H243" s="238"/>
    </row>
    <row r="244" spans="1:8" s="239" customFormat="1" ht="15" customHeight="1" x14ac:dyDescent="0.25">
      <c r="A244" s="279">
        <v>73</v>
      </c>
      <c r="B244" s="349" t="s">
        <v>292</v>
      </c>
      <c r="C244" s="492"/>
      <c r="D244" s="220">
        <v>87</v>
      </c>
      <c r="E244" s="238"/>
      <c r="F244" s="238"/>
      <c r="G244" s="238"/>
      <c r="H244" s="238"/>
    </row>
    <row r="245" spans="1:8" s="239" customFormat="1" ht="15" customHeight="1" x14ac:dyDescent="0.25">
      <c r="A245" s="279">
        <v>63</v>
      </c>
      <c r="B245" s="350" t="s">
        <v>293</v>
      </c>
      <c r="C245" s="492"/>
      <c r="D245" s="220">
        <v>590</v>
      </c>
      <c r="E245" s="238"/>
      <c r="F245" s="238"/>
      <c r="G245" s="238"/>
      <c r="H245" s="238"/>
    </row>
    <row r="246" spans="1:8" s="239" customFormat="1" ht="15" customHeight="1" x14ac:dyDescent="0.25">
      <c r="A246" s="279">
        <v>140</v>
      </c>
      <c r="B246" s="348" t="s">
        <v>490</v>
      </c>
      <c r="C246" s="492"/>
      <c r="D246" s="220">
        <v>3597</v>
      </c>
      <c r="E246" s="238"/>
      <c r="F246" s="238"/>
      <c r="G246" s="238"/>
      <c r="H246" s="238"/>
    </row>
    <row r="247" spans="1:8" s="239" customFormat="1" ht="15" customHeight="1" x14ac:dyDescent="0.25">
      <c r="A247" s="279">
        <v>75</v>
      </c>
      <c r="B247" s="348" t="s">
        <v>294</v>
      </c>
      <c r="C247" s="492"/>
      <c r="D247" s="220">
        <v>432</v>
      </c>
      <c r="E247" s="238"/>
      <c r="F247" s="238"/>
      <c r="G247" s="238"/>
      <c r="H247" s="238"/>
    </row>
    <row r="248" spans="1:8" s="239" customFormat="1" ht="15" customHeight="1" x14ac:dyDescent="0.25">
      <c r="A248" s="279">
        <v>71</v>
      </c>
      <c r="B248" s="348" t="s">
        <v>275</v>
      </c>
      <c r="C248" s="492"/>
      <c r="D248" s="220">
        <v>1116</v>
      </c>
      <c r="E248" s="238"/>
      <c r="F248" s="238"/>
      <c r="G248" s="238"/>
      <c r="H248" s="238"/>
    </row>
    <row r="249" spans="1:8" s="239" customFormat="1" ht="15" customHeight="1" x14ac:dyDescent="0.25">
      <c r="A249" s="279">
        <v>67</v>
      </c>
      <c r="B249" s="348" t="s">
        <v>295</v>
      </c>
      <c r="C249" s="492"/>
      <c r="D249" s="220">
        <v>889</v>
      </c>
      <c r="E249" s="238"/>
      <c r="F249" s="238"/>
      <c r="G249" s="238"/>
      <c r="H249" s="238"/>
    </row>
    <row r="250" spans="1:8" s="239" customFormat="1" ht="15" customHeight="1" x14ac:dyDescent="0.25">
      <c r="A250" s="279">
        <v>115</v>
      </c>
      <c r="B250" s="348" t="s">
        <v>296</v>
      </c>
      <c r="C250" s="492"/>
      <c r="D250" s="220">
        <v>1489</v>
      </c>
      <c r="E250" s="238"/>
      <c r="F250" s="238"/>
      <c r="G250" s="238"/>
      <c r="H250" s="238"/>
    </row>
    <row r="251" spans="1:8" s="239" customFormat="1" ht="15" customHeight="1" x14ac:dyDescent="0.25">
      <c r="A251" s="279">
        <v>103</v>
      </c>
      <c r="B251" s="348" t="s">
        <v>297</v>
      </c>
      <c r="C251" s="492"/>
      <c r="D251" s="220">
        <v>3093</v>
      </c>
      <c r="E251" s="238"/>
      <c r="F251" s="238"/>
      <c r="G251" s="238"/>
      <c r="H251" s="238"/>
    </row>
    <row r="252" spans="1:8" s="239" customFormat="1" ht="15" customHeight="1" x14ac:dyDescent="0.25">
      <c r="A252" s="279">
        <v>10</v>
      </c>
      <c r="B252" s="348" t="s">
        <v>298</v>
      </c>
      <c r="C252" s="492"/>
      <c r="D252" s="220">
        <v>5758</v>
      </c>
      <c r="E252" s="238"/>
      <c r="F252" s="238"/>
      <c r="G252" s="238"/>
      <c r="H252" s="238"/>
    </row>
    <row r="253" spans="1:8" s="239" customFormat="1" ht="15" customHeight="1" x14ac:dyDescent="0.25">
      <c r="A253" s="279">
        <v>4</v>
      </c>
      <c r="B253" s="348" t="s">
        <v>299</v>
      </c>
      <c r="C253" s="492"/>
      <c r="D253" s="220">
        <v>1913</v>
      </c>
      <c r="E253" s="238"/>
      <c r="F253" s="238"/>
      <c r="G253" s="238"/>
      <c r="H253" s="238"/>
    </row>
    <row r="254" spans="1:8" s="239" customFormat="1" ht="15" customHeight="1" x14ac:dyDescent="0.25">
      <c r="A254" s="279">
        <v>33</v>
      </c>
      <c r="B254" s="348" t="s">
        <v>300</v>
      </c>
      <c r="C254" s="492"/>
      <c r="D254" s="220">
        <v>4717</v>
      </c>
      <c r="E254" s="238"/>
      <c r="F254" s="238"/>
      <c r="G254" s="238"/>
      <c r="H254" s="238"/>
    </row>
    <row r="255" spans="1:8" s="239" customFormat="1" ht="15" customHeight="1" x14ac:dyDescent="0.25">
      <c r="A255" s="279">
        <v>29</v>
      </c>
      <c r="B255" s="348" t="s">
        <v>301</v>
      </c>
      <c r="C255" s="492"/>
      <c r="D255" s="220">
        <v>3005</v>
      </c>
      <c r="E255" s="238"/>
      <c r="F255" s="238"/>
      <c r="G255" s="238"/>
      <c r="H255" s="238"/>
    </row>
    <row r="256" spans="1:8" s="239" customFormat="1" ht="15" customHeight="1" x14ac:dyDescent="0.25">
      <c r="A256" s="279">
        <v>354</v>
      </c>
      <c r="B256" s="348" t="s">
        <v>59</v>
      </c>
      <c r="C256" s="492"/>
      <c r="D256" s="220">
        <v>9400</v>
      </c>
      <c r="E256" s="238"/>
      <c r="F256" s="238"/>
      <c r="G256" s="238"/>
      <c r="H256" s="238"/>
    </row>
    <row r="257" spans="1:8" s="239" customFormat="1" ht="15" customHeight="1" x14ac:dyDescent="0.25">
      <c r="A257" s="279">
        <v>173</v>
      </c>
      <c r="B257" s="348" t="s">
        <v>42</v>
      </c>
      <c r="C257" s="492"/>
      <c r="D257" s="220">
        <v>64</v>
      </c>
      <c r="E257" s="238"/>
      <c r="F257" s="238"/>
      <c r="G257" s="238"/>
      <c r="H257" s="238"/>
    </row>
    <row r="258" spans="1:8" s="239" customFormat="1" ht="15" customHeight="1" x14ac:dyDescent="0.25">
      <c r="A258" s="279">
        <v>417</v>
      </c>
      <c r="B258" s="348" t="s">
        <v>89</v>
      </c>
      <c r="C258" s="492"/>
      <c r="D258" s="220">
        <v>22</v>
      </c>
      <c r="E258" s="238"/>
      <c r="F258" s="238"/>
      <c r="G258" s="238"/>
      <c r="H258" s="238"/>
    </row>
    <row r="259" spans="1:8" s="239" customFormat="1" ht="30" customHeight="1" x14ac:dyDescent="0.25">
      <c r="A259" s="279">
        <v>188</v>
      </c>
      <c r="B259" s="348" t="s">
        <v>302</v>
      </c>
      <c r="C259" s="492"/>
      <c r="D259" s="220">
        <v>433</v>
      </c>
      <c r="E259" s="238"/>
      <c r="F259" s="238"/>
      <c r="G259" s="238"/>
      <c r="H259" s="238"/>
    </row>
    <row r="260" spans="1:8" s="239" customFormat="1" ht="30" customHeight="1" x14ac:dyDescent="0.25">
      <c r="A260" s="279">
        <v>188</v>
      </c>
      <c r="B260" s="348" t="s">
        <v>303</v>
      </c>
      <c r="C260" s="492"/>
      <c r="D260" s="220">
        <v>16200</v>
      </c>
      <c r="E260" s="238"/>
      <c r="F260" s="238"/>
      <c r="G260" s="238"/>
      <c r="H260" s="238"/>
    </row>
    <row r="261" spans="1:8" s="239" customFormat="1" ht="49.5" customHeight="1" x14ac:dyDescent="0.25">
      <c r="A261" s="279"/>
      <c r="B261" s="351"/>
      <c r="C261" s="352" t="s">
        <v>304</v>
      </c>
      <c r="D261" s="218">
        <f>SUM(D236:D260)</f>
        <v>65579</v>
      </c>
      <c r="E261" s="238"/>
      <c r="F261" s="238"/>
      <c r="G261" s="238"/>
      <c r="H261" s="238"/>
    </row>
    <row r="262" spans="1:8" s="239" customFormat="1" ht="47.25" customHeight="1" x14ac:dyDescent="0.25">
      <c r="A262" s="279">
        <v>188</v>
      </c>
      <c r="B262" s="353" t="s">
        <v>305</v>
      </c>
      <c r="C262" s="219" t="s">
        <v>306</v>
      </c>
      <c r="D262" s="354">
        <v>25</v>
      </c>
      <c r="F262" s="314"/>
      <c r="G262" s="238"/>
      <c r="H262" s="238"/>
    </row>
    <row r="263" spans="1:8" s="239" customFormat="1" ht="18" customHeight="1" x14ac:dyDescent="0.25">
      <c r="A263" s="285"/>
      <c r="B263" s="350"/>
      <c r="C263" s="355"/>
      <c r="D263" s="356"/>
      <c r="E263" s="357"/>
    </row>
    <row r="264" spans="1:8" s="239" customFormat="1" ht="27.75" customHeight="1" x14ac:dyDescent="0.25">
      <c r="A264" s="285"/>
      <c r="B264" s="491" t="s">
        <v>307</v>
      </c>
      <c r="C264" s="491"/>
      <c r="D264" s="491"/>
      <c r="E264" s="491"/>
    </row>
    <row r="265" spans="1:8" s="282" customFormat="1" ht="39" customHeight="1" x14ac:dyDescent="0.25">
      <c r="A265" s="279" t="s">
        <v>2</v>
      </c>
      <c r="B265" s="325" t="s">
        <v>283</v>
      </c>
      <c r="C265" s="325" t="s">
        <v>284</v>
      </c>
      <c r="D265" s="326" t="s">
        <v>78</v>
      </c>
      <c r="E265" s="326" t="s">
        <v>270</v>
      </c>
      <c r="F265" s="303" t="s">
        <v>271</v>
      </c>
    </row>
    <row r="266" spans="1:8" s="282" customFormat="1" ht="45" customHeight="1" x14ac:dyDescent="0.25">
      <c r="A266" s="468">
        <v>465</v>
      </c>
      <c r="B266" s="544" t="s">
        <v>262</v>
      </c>
      <c r="C266" s="358" t="s">
        <v>308</v>
      </c>
      <c r="D266" s="359"/>
      <c r="E266" s="359">
        <v>20463</v>
      </c>
      <c r="F266" s="359">
        <v>1711</v>
      </c>
    </row>
    <row r="267" spans="1:8" s="282" customFormat="1" ht="45" customHeight="1" x14ac:dyDescent="0.25">
      <c r="A267" s="485"/>
      <c r="B267" s="545"/>
      <c r="C267" s="358" t="s">
        <v>309</v>
      </c>
      <c r="D267" s="359"/>
      <c r="E267" s="359">
        <v>1423</v>
      </c>
      <c r="F267" s="359">
        <v>56</v>
      </c>
    </row>
    <row r="268" spans="1:8" s="282" customFormat="1" ht="48.75" customHeight="1" x14ac:dyDescent="0.25">
      <c r="A268" s="485"/>
      <c r="B268" s="545"/>
      <c r="C268" s="358" t="s">
        <v>310</v>
      </c>
      <c r="D268" s="359"/>
      <c r="E268" s="359">
        <v>70</v>
      </c>
      <c r="F268" s="359">
        <v>7</v>
      </c>
    </row>
    <row r="269" spans="1:8" s="282" customFormat="1" ht="60" customHeight="1" x14ac:dyDescent="0.25">
      <c r="A269" s="485"/>
      <c r="B269" s="545"/>
      <c r="C269" s="358" t="s">
        <v>311</v>
      </c>
      <c r="D269" s="220">
        <v>23726</v>
      </c>
      <c r="E269" s="220"/>
      <c r="F269" s="220"/>
    </row>
    <row r="270" spans="1:8" s="282" customFormat="1" ht="30" customHeight="1" x14ac:dyDescent="0.25">
      <c r="A270" s="485"/>
      <c r="B270" s="545"/>
      <c r="C270" s="358" t="s">
        <v>312</v>
      </c>
      <c r="D270" s="220">
        <v>24012</v>
      </c>
      <c r="E270" s="220"/>
      <c r="F270" s="220"/>
    </row>
    <row r="271" spans="1:8" s="282" customFormat="1" ht="15" customHeight="1" x14ac:dyDescent="0.25">
      <c r="A271" s="485"/>
      <c r="B271" s="545"/>
      <c r="C271" s="358" t="s">
        <v>313</v>
      </c>
      <c r="D271" s="220">
        <v>1295</v>
      </c>
      <c r="E271" s="220"/>
      <c r="F271" s="220"/>
    </row>
    <row r="272" spans="1:8" s="282" customFormat="1" ht="45" customHeight="1" x14ac:dyDescent="0.25">
      <c r="A272" s="485"/>
      <c r="B272" s="545"/>
      <c r="C272" s="358" t="s">
        <v>314</v>
      </c>
      <c r="D272" s="220">
        <v>1875</v>
      </c>
      <c r="E272" s="220"/>
      <c r="F272" s="220"/>
    </row>
    <row r="273" spans="1:8" s="282" customFormat="1" ht="33" customHeight="1" x14ac:dyDescent="0.25">
      <c r="A273" s="485"/>
      <c r="B273" s="545"/>
      <c r="C273" s="358" t="s">
        <v>315</v>
      </c>
      <c r="D273" s="220">
        <v>1026</v>
      </c>
      <c r="E273" s="220"/>
      <c r="F273" s="220"/>
    </row>
    <row r="274" spans="1:8" s="282" customFormat="1" ht="31.5" customHeight="1" x14ac:dyDescent="0.25">
      <c r="A274" s="485"/>
      <c r="B274" s="545"/>
      <c r="C274" s="358" t="s">
        <v>316</v>
      </c>
      <c r="D274" s="220">
        <v>2573</v>
      </c>
      <c r="E274" s="220"/>
      <c r="F274" s="220"/>
    </row>
    <row r="275" spans="1:8" s="282" customFormat="1" ht="30" customHeight="1" x14ac:dyDescent="0.25">
      <c r="A275" s="485"/>
      <c r="B275" s="545"/>
      <c r="C275" s="360" t="s">
        <v>317</v>
      </c>
      <c r="D275" s="220">
        <v>204</v>
      </c>
      <c r="E275" s="220"/>
      <c r="F275" s="220"/>
    </row>
    <row r="276" spans="1:8" s="282" customFormat="1" ht="26.25" customHeight="1" x14ac:dyDescent="0.25">
      <c r="A276" s="485"/>
      <c r="B276" s="545"/>
      <c r="C276" s="361" t="s">
        <v>318</v>
      </c>
      <c r="D276" s="220">
        <v>414</v>
      </c>
      <c r="E276" s="220"/>
      <c r="F276" s="362"/>
    </row>
    <row r="277" spans="1:8" s="282" customFormat="1" ht="79.5" customHeight="1" x14ac:dyDescent="0.25">
      <c r="A277" s="469"/>
      <c r="B277" s="546"/>
      <c r="C277" s="361" t="s">
        <v>319</v>
      </c>
      <c r="D277" s="322">
        <v>500</v>
      </c>
      <c r="E277" s="322"/>
      <c r="F277" s="363"/>
      <c r="G277" s="364"/>
      <c r="H277" s="364"/>
    </row>
    <row r="278" spans="1:8" s="282" customFormat="1" ht="35.25" customHeight="1" x14ac:dyDescent="0.25">
      <c r="A278" s="468">
        <v>144</v>
      </c>
      <c r="B278" s="544" t="s">
        <v>473</v>
      </c>
      <c r="C278" s="361" t="s">
        <v>320</v>
      </c>
      <c r="D278" s="354">
        <v>407</v>
      </c>
      <c r="E278" s="354"/>
      <c r="F278" s="222"/>
      <c r="G278" s="364"/>
      <c r="H278" s="364"/>
    </row>
    <row r="279" spans="1:8" s="282" customFormat="1" ht="30" customHeight="1" x14ac:dyDescent="0.25">
      <c r="A279" s="485"/>
      <c r="B279" s="545"/>
      <c r="C279" s="361" t="s">
        <v>321</v>
      </c>
      <c r="D279" s="354">
        <v>130</v>
      </c>
      <c r="E279" s="354"/>
      <c r="F279" s="222"/>
      <c r="G279" s="364"/>
      <c r="H279" s="364"/>
    </row>
    <row r="280" spans="1:8" s="282" customFormat="1" ht="34.5" customHeight="1" x14ac:dyDescent="0.25">
      <c r="A280" s="469"/>
      <c r="B280" s="546"/>
      <c r="C280" s="361" t="s">
        <v>322</v>
      </c>
      <c r="D280" s="354">
        <v>1350</v>
      </c>
      <c r="E280" s="354"/>
      <c r="F280" s="222"/>
      <c r="G280" s="364"/>
      <c r="H280" s="364"/>
    </row>
    <row r="281" spans="1:8" s="282" customFormat="1" ht="44.25" customHeight="1" x14ac:dyDescent="0.25">
      <c r="A281" s="468">
        <v>173</v>
      </c>
      <c r="B281" s="511" t="s">
        <v>42</v>
      </c>
      <c r="C281" s="221" t="s">
        <v>323</v>
      </c>
      <c r="D281" s="222"/>
      <c r="E281" s="222">
        <v>95</v>
      </c>
      <c r="F281" s="222">
        <v>20</v>
      </c>
      <c r="G281" s="364"/>
      <c r="H281" s="364"/>
    </row>
    <row r="282" spans="1:8" s="282" customFormat="1" ht="45" x14ac:dyDescent="0.25">
      <c r="A282" s="485"/>
      <c r="B282" s="547"/>
      <c r="C282" s="221" t="s">
        <v>324</v>
      </c>
      <c r="D282" s="222"/>
      <c r="E282" s="222">
        <v>3750</v>
      </c>
      <c r="F282" s="222">
        <v>203</v>
      </c>
      <c r="G282" s="364"/>
      <c r="H282" s="364"/>
    </row>
    <row r="283" spans="1:8" s="282" customFormat="1" ht="105" x14ac:dyDescent="0.25">
      <c r="A283" s="485"/>
      <c r="B283" s="547"/>
      <c r="C283" s="221" t="s">
        <v>325</v>
      </c>
      <c r="D283" s="354"/>
      <c r="E283" s="354">
        <v>150</v>
      </c>
      <c r="F283" s="222">
        <v>60</v>
      </c>
    </row>
    <row r="284" spans="1:8" s="282" customFormat="1" ht="78.75" customHeight="1" x14ac:dyDescent="0.25">
      <c r="A284" s="485"/>
      <c r="B284" s="547"/>
      <c r="C284" s="365" t="s">
        <v>326</v>
      </c>
      <c r="D284" s="366">
        <v>1500</v>
      </c>
      <c r="E284" s="366"/>
      <c r="F284" s="367"/>
    </row>
    <row r="285" spans="1:8" s="282" customFormat="1" ht="41.25" customHeight="1" x14ac:dyDescent="0.25">
      <c r="A285" s="279">
        <v>140</v>
      </c>
      <c r="B285" s="372" t="s">
        <v>495</v>
      </c>
      <c r="C285" s="221" t="s">
        <v>494</v>
      </c>
      <c r="D285" s="354">
        <v>30</v>
      </c>
      <c r="E285" s="354"/>
      <c r="F285" s="222"/>
    </row>
    <row r="286" spans="1:8" s="282" customFormat="1" ht="54.75" customHeight="1" x14ac:dyDescent="0.25">
      <c r="A286" s="279">
        <v>59</v>
      </c>
      <c r="B286" s="548" t="s">
        <v>56</v>
      </c>
      <c r="C286" s="221" t="s">
        <v>323</v>
      </c>
      <c r="D286" s="222"/>
      <c r="E286" s="222">
        <v>40</v>
      </c>
      <c r="F286" s="222"/>
      <c r="G286" s="364"/>
      <c r="H286" s="364"/>
    </row>
    <row r="287" spans="1:8" s="282" customFormat="1" ht="54.75" customHeight="1" x14ac:dyDescent="0.25">
      <c r="A287" s="468">
        <v>29</v>
      </c>
      <c r="B287" s="549" t="s">
        <v>185</v>
      </c>
      <c r="C287" s="221" t="s">
        <v>474</v>
      </c>
      <c r="D287" s="222"/>
      <c r="E287" s="222">
        <v>1167</v>
      </c>
      <c r="F287" s="222"/>
      <c r="G287" s="364"/>
      <c r="H287" s="364"/>
    </row>
    <row r="288" spans="1:8" s="282" customFormat="1" ht="81" customHeight="1" x14ac:dyDescent="0.25">
      <c r="A288" s="469"/>
      <c r="B288" s="550"/>
      <c r="C288" s="221" t="s">
        <v>475</v>
      </c>
      <c r="D288" s="222"/>
      <c r="E288" s="222">
        <v>125</v>
      </c>
      <c r="F288" s="222"/>
      <c r="G288" s="364"/>
      <c r="H288" s="364"/>
    </row>
    <row r="289" spans="1:8" s="239" customFormat="1" ht="29.25" customHeight="1" x14ac:dyDescent="0.25">
      <c r="A289" s="285"/>
      <c r="B289" s="506" t="s">
        <v>327</v>
      </c>
      <c r="C289" s="506"/>
      <c r="D289" s="506"/>
      <c r="E289" s="506"/>
      <c r="G289" s="238"/>
      <c r="H289" s="238"/>
    </row>
    <row r="290" spans="1:8" s="239" customFormat="1" ht="24" customHeight="1" x14ac:dyDescent="0.25">
      <c r="A290" s="279">
        <v>146</v>
      </c>
      <c r="B290" s="240" t="s">
        <v>42</v>
      </c>
      <c r="C290" s="486" t="s">
        <v>328</v>
      </c>
      <c r="D290" s="220">
        <v>170</v>
      </c>
      <c r="F290" s="238"/>
      <c r="G290" s="238"/>
      <c r="H290" s="238"/>
    </row>
    <row r="291" spans="1:8" s="239" customFormat="1" ht="53.25" customHeight="1" x14ac:dyDescent="0.25">
      <c r="A291" s="279">
        <v>146</v>
      </c>
      <c r="B291" s="240" t="s">
        <v>237</v>
      </c>
      <c r="C291" s="487"/>
      <c r="D291" s="220">
        <v>50</v>
      </c>
      <c r="F291" s="238"/>
      <c r="G291" s="238"/>
      <c r="H291" s="238"/>
    </row>
    <row r="292" spans="1:8" s="239" customFormat="1" ht="53.25" customHeight="1" x14ac:dyDescent="0.25">
      <c r="A292" s="279">
        <v>144</v>
      </c>
      <c r="B292" s="241" t="s">
        <v>281</v>
      </c>
      <c r="C292" s="500"/>
      <c r="D292" s="220">
        <v>40</v>
      </c>
      <c r="F292" s="238"/>
      <c r="G292" s="238"/>
      <c r="H292" s="238"/>
    </row>
    <row r="293" spans="1:8" s="239" customFormat="1" ht="78.75" customHeight="1" x14ac:dyDescent="0.25">
      <c r="A293" s="279">
        <v>144</v>
      </c>
      <c r="B293" s="241" t="s">
        <v>281</v>
      </c>
      <c r="C293" s="219" t="s">
        <v>329</v>
      </c>
      <c r="D293" s="220">
        <v>30</v>
      </c>
      <c r="F293" s="238"/>
      <c r="G293" s="238"/>
      <c r="H293" s="238"/>
    </row>
    <row r="294" spans="1:8" s="239" customFormat="1" ht="21" customHeight="1" x14ac:dyDescent="0.25">
      <c r="A294" s="285"/>
      <c r="B294" s="506" t="s">
        <v>330</v>
      </c>
      <c r="C294" s="506"/>
      <c r="D294" s="506"/>
      <c r="E294" s="506"/>
      <c r="G294" s="238"/>
      <c r="H294" s="238"/>
    </row>
    <row r="295" spans="1:8" s="239" customFormat="1" ht="64.5" customHeight="1" x14ac:dyDescent="0.25">
      <c r="A295" s="496">
        <v>144</v>
      </c>
      <c r="B295" s="497" t="s">
        <v>281</v>
      </c>
      <c r="C295" s="368" t="s">
        <v>331</v>
      </c>
      <c r="D295" s="369">
        <v>200</v>
      </c>
      <c r="E295" s="370"/>
      <c r="G295" s="238"/>
      <c r="H295" s="238"/>
    </row>
    <row r="296" spans="1:8" s="239" customFormat="1" ht="87" hidden="1" customHeight="1" x14ac:dyDescent="0.25">
      <c r="A296" s="485"/>
      <c r="B296" s="498"/>
      <c r="C296" s="368" t="s">
        <v>497</v>
      </c>
      <c r="D296" s="369">
        <v>32</v>
      </c>
      <c r="E296" s="370"/>
      <c r="G296" s="238"/>
      <c r="H296" s="238"/>
    </row>
    <row r="297" spans="1:8" s="239" customFormat="1" ht="64.5" customHeight="1" x14ac:dyDescent="0.25">
      <c r="A297" s="469"/>
      <c r="B297" s="499"/>
      <c r="C297" s="368" t="s">
        <v>477</v>
      </c>
      <c r="D297" s="369">
        <v>12</v>
      </c>
      <c r="E297" s="370"/>
      <c r="G297" s="238"/>
      <c r="H297" s="238"/>
    </row>
    <row r="298" spans="1:8" s="239" customFormat="1" ht="66" customHeight="1" x14ac:dyDescent="0.25">
      <c r="A298" s="279">
        <v>354</v>
      </c>
      <c r="B298" s="353" t="s">
        <v>59</v>
      </c>
      <c r="C298" s="368" t="s">
        <v>331</v>
      </c>
      <c r="D298" s="354">
        <v>4616</v>
      </c>
      <c r="E298" s="285"/>
      <c r="F298" s="238"/>
      <c r="G298" s="238"/>
      <c r="H298" s="238"/>
    </row>
    <row r="299" spans="1:8" s="239" customFormat="1" ht="43.5" customHeight="1" x14ac:dyDescent="0.25">
      <c r="A299" s="468">
        <v>386</v>
      </c>
      <c r="B299" s="511" t="s">
        <v>332</v>
      </c>
      <c r="C299" s="368" t="s">
        <v>333</v>
      </c>
      <c r="D299" s="371">
        <v>8213</v>
      </c>
      <c r="E299" s="285"/>
      <c r="F299" s="238"/>
      <c r="G299" s="238"/>
      <c r="H299" s="238"/>
    </row>
    <row r="300" spans="1:8" s="239" customFormat="1" ht="30" customHeight="1" x14ac:dyDescent="0.25">
      <c r="A300" s="469"/>
      <c r="B300" s="512"/>
      <c r="C300" s="368" t="s">
        <v>334</v>
      </c>
      <c r="D300" s="371">
        <v>12046</v>
      </c>
      <c r="E300" s="285"/>
      <c r="G300" s="238"/>
      <c r="H300" s="238"/>
    </row>
    <row r="301" spans="1:8" s="239" customFormat="1" ht="45.75" hidden="1" customHeight="1" x14ac:dyDescent="0.25">
      <c r="A301" s="496">
        <v>385</v>
      </c>
      <c r="B301" s="495" t="s">
        <v>335</v>
      </c>
      <c r="C301" s="373"/>
      <c r="D301" s="371"/>
      <c r="E301" s="285"/>
      <c r="G301" s="238"/>
      <c r="H301" s="238"/>
    </row>
    <row r="302" spans="1:8" s="239" customFormat="1" ht="65.25" customHeight="1" x14ac:dyDescent="0.25">
      <c r="A302" s="496"/>
      <c r="B302" s="495"/>
      <c r="C302" s="219" t="s">
        <v>333</v>
      </c>
      <c r="D302" s="371">
        <v>1155</v>
      </c>
      <c r="E302" s="285"/>
      <c r="G302" s="238"/>
      <c r="H302" s="238"/>
    </row>
    <row r="303" spans="1:8" s="239" customFormat="1" ht="30" customHeight="1" x14ac:dyDescent="0.25">
      <c r="A303" s="496"/>
      <c r="B303" s="495"/>
      <c r="C303" s="219" t="s">
        <v>334</v>
      </c>
      <c r="D303" s="371">
        <v>1027</v>
      </c>
      <c r="E303" s="285"/>
      <c r="G303" s="238"/>
      <c r="H303" s="238"/>
    </row>
    <row r="304" spans="1:8" s="239" customFormat="1" ht="30" customHeight="1" x14ac:dyDescent="0.25">
      <c r="A304" s="496">
        <v>385</v>
      </c>
      <c r="B304" s="495" t="s">
        <v>362</v>
      </c>
      <c r="C304" s="219" t="s">
        <v>333</v>
      </c>
      <c r="D304" s="371">
        <v>524</v>
      </c>
      <c r="E304" s="285"/>
      <c r="G304" s="238"/>
      <c r="H304" s="238"/>
    </row>
    <row r="305" spans="1:8" s="239" customFormat="1" ht="30.75" customHeight="1" x14ac:dyDescent="0.25">
      <c r="A305" s="496"/>
      <c r="B305" s="495"/>
      <c r="C305" s="219" t="s">
        <v>334</v>
      </c>
      <c r="D305" s="371">
        <v>1171</v>
      </c>
      <c r="E305" s="285"/>
      <c r="G305" s="238"/>
      <c r="H305" s="238"/>
    </row>
    <row r="306" spans="1:8" s="239" customFormat="1" ht="32.25" customHeight="1" x14ac:dyDescent="0.25">
      <c r="A306" s="496">
        <v>432</v>
      </c>
      <c r="B306" s="495" t="s">
        <v>336</v>
      </c>
      <c r="C306" s="219" t="s">
        <v>334</v>
      </c>
      <c r="D306" s="220">
        <v>3567</v>
      </c>
      <c r="E306" s="285"/>
      <c r="G306" s="238"/>
      <c r="H306" s="238"/>
    </row>
    <row r="307" spans="1:8" s="239" customFormat="1" ht="59.25" customHeight="1" x14ac:dyDescent="0.25">
      <c r="A307" s="496"/>
      <c r="B307" s="495"/>
      <c r="C307" s="219" t="s">
        <v>333</v>
      </c>
      <c r="D307" s="220">
        <v>9385</v>
      </c>
      <c r="E307" s="285"/>
      <c r="G307" s="238"/>
      <c r="H307" s="238"/>
    </row>
    <row r="308" spans="1:8" s="239" customFormat="1" ht="33" customHeight="1" x14ac:dyDescent="0.25">
      <c r="A308" s="496"/>
      <c r="B308" s="495"/>
      <c r="C308" s="219" t="s">
        <v>337</v>
      </c>
      <c r="D308" s="509">
        <v>14</v>
      </c>
      <c r="E308" s="364"/>
      <c r="G308" s="374"/>
      <c r="H308" s="374"/>
    </row>
    <row r="309" spans="1:8" s="239" customFormat="1" ht="61.5" customHeight="1" x14ac:dyDescent="0.25">
      <c r="A309" s="496"/>
      <c r="B309" s="495"/>
      <c r="C309" s="219" t="s">
        <v>338</v>
      </c>
      <c r="D309" s="509"/>
      <c r="E309" s="364"/>
      <c r="G309" s="238"/>
      <c r="H309" s="238"/>
    </row>
    <row r="310" spans="1:8" s="239" customFormat="1" ht="61.5" customHeight="1" x14ac:dyDescent="0.25">
      <c r="A310" s="496"/>
      <c r="B310" s="495"/>
      <c r="C310" s="219" t="s">
        <v>339</v>
      </c>
      <c r="D310" s="509"/>
      <c r="E310" s="364"/>
      <c r="F310" s="238"/>
      <c r="G310" s="238"/>
      <c r="H310" s="238"/>
    </row>
    <row r="311" spans="1:8" s="239" customFormat="1" ht="29.25" customHeight="1" x14ac:dyDescent="0.25">
      <c r="A311" s="496">
        <v>452</v>
      </c>
      <c r="B311" s="510" t="s">
        <v>254</v>
      </c>
      <c r="C311" s="219" t="s">
        <v>334</v>
      </c>
      <c r="D311" s="220">
        <v>8982</v>
      </c>
      <c r="E311" s="357"/>
      <c r="F311" s="238"/>
      <c r="G311" s="238"/>
      <c r="H311" s="238"/>
    </row>
    <row r="312" spans="1:8" s="239" customFormat="1" ht="60" customHeight="1" x14ac:dyDescent="0.25">
      <c r="A312" s="496"/>
      <c r="B312" s="510"/>
      <c r="C312" s="219" t="s">
        <v>333</v>
      </c>
      <c r="D312" s="220">
        <v>154</v>
      </c>
      <c r="E312" s="357"/>
      <c r="F312" s="238"/>
      <c r="G312" s="238"/>
      <c r="H312" s="238"/>
    </row>
    <row r="313" spans="1:8" s="239" customFormat="1" ht="33.75" customHeight="1" x14ac:dyDescent="0.25">
      <c r="A313" s="496"/>
      <c r="B313" s="510"/>
      <c r="C313" s="219" t="s">
        <v>340</v>
      </c>
      <c r="D313" s="220">
        <v>3334</v>
      </c>
      <c r="E313" s="357"/>
      <c r="F313" s="238"/>
      <c r="G313" s="238"/>
      <c r="H313" s="238"/>
    </row>
    <row r="314" spans="1:8" s="239" customFormat="1" ht="67.5" customHeight="1" x14ac:dyDescent="0.25">
      <c r="A314" s="496"/>
      <c r="B314" s="510"/>
      <c r="C314" s="219" t="s">
        <v>338</v>
      </c>
      <c r="D314" s="220">
        <v>2246</v>
      </c>
      <c r="E314" s="357"/>
      <c r="F314" s="375"/>
      <c r="G314" s="376"/>
      <c r="H314" s="376"/>
    </row>
    <row r="315" spans="1:8" s="239" customFormat="1" ht="67.5" customHeight="1" x14ac:dyDescent="0.25">
      <c r="A315" s="468">
        <v>40</v>
      </c>
      <c r="B315" s="507" t="s">
        <v>472</v>
      </c>
      <c r="C315" s="219" t="s">
        <v>333</v>
      </c>
      <c r="D315" s="220">
        <v>3435</v>
      </c>
      <c r="E315" s="357"/>
      <c r="F315" s="375"/>
      <c r="G315" s="376"/>
      <c r="H315" s="376"/>
    </row>
    <row r="316" spans="1:8" s="239" customFormat="1" ht="34.5" customHeight="1" x14ac:dyDescent="0.25">
      <c r="A316" s="469"/>
      <c r="B316" s="508"/>
      <c r="C316" s="219" t="s">
        <v>334</v>
      </c>
      <c r="D316" s="220">
        <v>2997</v>
      </c>
      <c r="E316" s="357"/>
      <c r="F316" s="375"/>
      <c r="G316" s="376"/>
      <c r="H316" s="376"/>
    </row>
    <row r="317" spans="1:8" s="239" customFormat="1" ht="28.5" customHeight="1" x14ac:dyDescent="0.25">
      <c r="A317" s="285"/>
      <c r="B317" s="506" t="s">
        <v>341</v>
      </c>
      <c r="C317" s="506"/>
      <c r="D317" s="506"/>
      <c r="E317" s="506"/>
      <c r="F317" s="375"/>
      <c r="G317" s="376"/>
      <c r="H317" s="376"/>
    </row>
    <row r="318" spans="1:8" s="239" customFormat="1" ht="101.25" customHeight="1" x14ac:dyDescent="0.25">
      <c r="A318" s="279" t="s">
        <v>2</v>
      </c>
      <c r="B318" s="513" t="s">
        <v>459</v>
      </c>
      <c r="C318" s="514"/>
      <c r="D318" s="515"/>
      <c r="E318" s="238"/>
      <c r="G318" s="238"/>
      <c r="H318" s="238"/>
    </row>
    <row r="319" spans="1:8" s="239" customFormat="1" ht="21" customHeight="1" x14ac:dyDescent="0.25">
      <c r="A319" s="279">
        <v>173</v>
      </c>
      <c r="B319" s="377" t="s">
        <v>42</v>
      </c>
      <c r="C319" s="516" t="s">
        <v>341</v>
      </c>
      <c r="D319" s="226">
        <v>215</v>
      </c>
      <c r="E319" s="238"/>
      <c r="G319" s="238"/>
      <c r="H319" s="238"/>
    </row>
    <row r="320" spans="1:8" s="239" customFormat="1" ht="23.25" customHeight="1" x14ac:dyDescent="0.25">
      <c r="A320" s="279">
        <v>465</v>
      </c>
      <c r="B320" s="273" t="s">
        <v>342</v>
      </c>
      <c r="C320" s="516"/>
      <c r="D320" s="226">
        <v>317</v>
      </c>
      <c r="E320" s="238"/>
      <c r="G320" s="238"/>
      <c r="H320" s="238"/>
    </row>
    <row r="321" spans="1:19" s="239" customFormat="1" ht="26.25" customHeight="1" x14ac:dyDescent="0.25">
      <c r="A321" s="279">
        <v>188</v>
      </c>
      <c r="B321" s="377" t="s">
        <v>343</v>
      </c>
      <c r="C321" s="516"/>
      <c r="D321" s="226">
        <v>5153</v>
      </c>
      <c r="E321" s="238"/>
      <c r="G321" s="238"/>
      <c r="H321" s="238"/>
    </row>
    <row r="322" spans="1:19" s="239" customFormat="1" ht="36" customHeight="1" x14ac:dyDescent="0.25">
      <c r="A322" s="279"/>
      <c r="B322" s="352"/>
      <c r="C322" s="352" t="s">
        <v>344</v>
      </c>
      <c r="D322" s="378">
        <f>D319+D320+D321</f>
        <v>5685</v>
      </c>
      <c r="F322" s="238"/>
      <c r="G322" s="238"/>
      <c r="H322" s="238"/>
    </row>
    <row r="323" spans="1:19" ht="25.5" customHeight="1" x14ac:dyDescent="0.25">
      <c r="A323" s="285"/>
      <c r="B323" s="297"/>
      <c r="C323" s="238"/>
      <c r="D323" s="238"/>
      <c r="R323" s="262"/>
      <c r="S323" s="262"/>
    </row>
    <row r="324" spans="1:19" ht="39" customHeight="1" x14ac:dyDescent="0.25">
      <c r="A324" s="285"/>
      <c r="B324" s="517" t="s">
        <v>461</v>
      </c>
      <c r="C324" s="517"/>
      <c r="D324" s="517"/>
      <c r="E324" s="517"/>
      <c r="R324" s="262"/>
      <c r="S324" s="262"/>
    </row>
    <row r="325" spans="1:19" ht="12" customHeight="1" x14ac:dyDescent="0.25">
      <c r="A325" s="285"/>
      <c r="B325" s="379"/>
      <c r="C325" s="379"/>
      <c r="D325" s="379"/>
      <c r="E325" s="379"/>
      <c r="R325" s="262"/>
      <c r="S325" s="262"/>
    </row>
    <row r="326" spans="1:19" ht="25.5" customHeight="1" x14ac:dyDescent="0.25">
      <c r="A326" s="279" t="s">
        <v>2</v>
      </c>
      <c r="B326" s="380" t="s">
        <v>273</v>
      </c>
      <c r="C326" s="222" t="s">
        <v>270</v>
      </c>
      <c r="D326" s="238"/>
      <c r="R326" s="262"/>
      <c r="S326" s="262"/>
    </row>
    <row r="327" spans="1:19" ht="25.5" customHeight="1" x14ac:dyDescent="0.25">
      <c r="A327" s="279">
        <v>144</v>
      </c>
      <c r="B327" s="241" t="s">
        <v>281</v>
      </c>
      <c r="C327" s="318">
        <v>4444</v>
      </c>
      <c r="D327" s="238"/>
      <c r="R327" s="262"/>
      <c r="S327" s="262"/>
    </row>
    <row r="328" spans="1:19" ht="40.5" customHeight="1" x14ac:dyDescent="0.25">
      <c r="A328" s="279">
        <v>188</v>
      </c>
      <c r="B328" s="377" t="s">
        <v>343</v>
      </c>
      <c r="C328" s="318">
        <v>1469</v>
      </c>
      <c r="D328" s="238"/>
      <c r="R328" s="262"/>
      <c r="S328" s="262"/>
    </row>
    <row r="329" spans="1:19" ht="25.5" customHeight="1" x14ac:dyDescent="0.25">
      <c r="A329" s="279">
        <v>292</v>
      </c>
      <c r="B329" s="292" t="s">
        <v>22</v>
      </c>
      <c r="C329" s="318">
        <v>254</v>
      </c>
      <c r="D329" s="238"/>
      <c r="R329" s="262"/>
      <c r="S329" s="262"/>
    </row>
    <row r="330" spans="1:19" ht="25.5" customHeight="1" x14ac:dyDescent="0.25">
      <c r="A330" s="279">
        <v>146</v>
      </c>
      <c r="B330" s="241" t="s">
        <v>42</v>
      </c>
      <c r="C330" s="318">
        <v>78</v>
      </c>
      <c r="D330" s="238"/>
      <c r="R330" s="262"/>
      <c r="S330" s="262"/>
    </row>
    <row r="331" spans="1:19" ht="15" customHeight="1" x14ac:dyDescent="0.25">
      <c r="A331" s="285"/>
      <c r="B331" s="297"/>
      <c r="C331" s="238"/>
      <c r="D331" s="238"/>
      <c r="R331" s="262"/>
      <c r="S331" s="262"/>
    </row>
    <row r="332" spans="1:19" ht="36.75" customHeight="1" x14ac:dyDescent="0.25">
      <c r="A332" s="285"/>
      <c r="B332" s="518" t="s">
        <v>496</v>
      </c>
      <c r="C332" s="518"/>
      <c r="D332" s="518"/>
      <c r="E332" s="518"/>
      <c r="R332" s="262"/>
      <c r="S332" s="262"/>
    </row>
    <row r="333" spans="1:19" ht="14.25" customHeight="1" x14ac:dyDescent="0.25">
      <c r="A333" s="285"/>
      <c r="B333" s="297"/>
      <c r="C333" s="238"/>
      <c r="D333" s="238"/>
      <c r="R333" s="262"/>
      <c r="S333" s="262"/>
    </row>
    <row r="334" spans="1:19" ht="14.25" customHeight="1" x14ac:dyDescent="0.25">
      <c r="A334" s="279" t="s">
        <v>2</v>
      </c>
      <c r="B334" s="380" t="s">
        <v>273</v>
      </c>
      <c r="C334" s="222" t="s">
        <v>270</v>
      </c>
      <c r="D334" s="238"/>
      <c r="R334" s="262"/>
      <c r="S334" s="262"/>
    </row>
    <row r="335" spans="1:19" ht="14.25" customHeight="1" x14ac:dyDescent="0.25">
      <c r="A335" s="279">
        <v>144</v>
      </c>
      <c r="B335" s="241" t="s">
        <v>281</v>
      </c>
      <c r="C335" s="318">
        <v>582</v>
      </c>
      <c r="D335" s="238"/>
      <c r="R335" s="262"/>
      <c r="S335" s="262"/>
    </row>
    <row r="336" spans="1:19" ht="14.25" customHeight="1" x14ac:dyDescent="0.25">
      <c r="A336" s="279">
        <v>33</v>
      </c>
      <c r="B336" s="377" t="s">
        <v>300</v>
      </c>
      <c r="C336" s="318">
        <v>84</v>
      </c>
      <c r="D336" s="238"/>
      <c r="R336" s="262"/>
      <c r="S336" s="262"/>
    </row>
    <row r="337" spans="1:19" ht="14.25" customHeight="1" x14ac:dyDescent="0.25">
      <c r="A337" s="285"/>
      <c r="B337" s="297"/>
      <c r="C337" s="238"/>
      <c r="D337" s="238"/>
      <c r="R337" s="262"/>
      <c r="S337" s="262"/>
    </row>
    <row r="338" spans="1:19" ht="14.25" customHeight="1" x14ac:dyDescent="0.25">
      <c r="A338" s="285"/>
      <c r="B338" s="297"/>
      <c r="C338" s="238"/>
      <c r="D338" s="238"/>
      <c r="R338" s="262"/>
      <c r="S338" s="262"/>
    </row>
    <row r="339" spans="1:19" ht="21.75" customHeight="1" x14ac:dyDescent="0.25">
      <c r="B339" s="519" t="s">
        <v>345</v>
      </c>
      <c r="C339" s="519"/>
      <c r="D339" s="519"/>
      <c r="E339" s="519"/>
      <c r="F339" s="519"/>
      <c r="R339" s="262"/>
      <c r="S339" s="262"/>
    </row>
    <row r="340" spans="1:19" ht="28.5" customHeight="1" x14ac:dyDescent="0.25">
      <c r="A340" s="468" t="s">
        <v>2</v>
      </c>
      <c r="B340" s="470" t="s">
        <v>226</v>
      </c>
      <c r="C340" s="520" t="s">
        <v>346</v>
      </c>
      <c r="D340" s="520" t="s">
        <v>347</v>
      </c>
      <c r="E340" s="520"/>
      <c r="F340" s="520"/>
      <c r="R340" s="262"/>
      <c r="S340" s="262"/>
    </row>
    <row r="341" spans="1:19" ht="36.75" customHeight="1" x14ac:dyDescent="0.25">
      <c r="A341" s="469"/>
      <c r="B341" s="471"/>
      <c r="C341" s="520"/>
      <c r="D341" s="272" t="s">
        <v>348</v>
      </c>
      <c r="E341" s="272" t="s">
        <v>349</v>
      </c>
      <c r="F341" s="272" t="s">
        <v>350</v>
      </c>
      <c r="G341" s="381"/>
      <c r="R341" s="262"/>
      <c r="S341" s="262"/>
    </row>
    <row r="342" spans="1:19" x14ac:dyDescent="0.25">
      <c r="A342" s="279">
        <v>61</v>
      </c>
      <c r="B342" s="382" t="s">
        <v>48</v>
      </c>
      <c r="C342" s="274">
        <v>1711</v>
      </c>
      <c r="D342" s="274">
        <v>0</v>
      </c>
      <c r="E342" s="274">
        <v>446</v>
      </c>
      <c r="F342" s="274">
        <v>936</v>
      </c>
      <c r="G342" s="383"/>
      <c r="R342" s="262"/>
      <c r="S342" s="262"/>
    </row>
    <row r="343" spans="1:19" x14ac:dyDescent="0.25">
      <c r="A343" s="279">
        <v>59</v>
      </c>
      <c r="B343" s="382" t="s">
        <v>29</v>
      </c>
      <c r="C343" s="274">
        <v>11708</v>
      </c>
      <c r="D343" s="274">
        <v>1880</v>
      </c>
      <c r="E343" s="274">
        <v>2700</v>
      </c>
      <c r="F343" s="274">
        <v>5693</v>
      </c>
      <c r="G343" s="383"/>
      <c r="R343" s="262"/>
      <c r="S343" s="262"/>
    </row>
    <row r="344" spans="1:19" x14ac:dyDescent="0.25">
      <c r="A344" s="279">
        <v>63</v>
      </c>
      <c r="B344" s="382" t="s">
        <v>30</v>
      </c>
      <c r="C344" s="274">
        <v>3442</v>
      </c>
      <c r="D344" s="274">
        <v>322</v>
      </c>
      <c r="E344" s="274">
        <v>801</v>
      </c>
      <c r="F344" s="274">
        <v>1677</v>
      </c>
      <c r="G344" s="383"/>
      <c r="R344" s="262"/>
      <c r="S344" s="262"/>
    </row>
    <row r="345" spans="1:19" x14ac:dyDescent="0.25">
      <c r="A345" s="279">
        <v>65</v>
      </c>
      <c r="B345" s="382" t="s">
        <v>31</v>
      </c>
      <c r="C345" s="274">
        <v>2939</v>
      </c>
      <c r="D345" s="274">
        <v>0</v>
      </c>
      <c r="E345" s="274">
        <v>839</v>
      </c>
      <c r="F345" s="274">
        <v>1756</v>
      </c>
      <c r="G345" s="383"/>
      <c r="R345" s="262"/>
      <c r="S345" s="262"/>
    </row>
    <row r="346" spans="1:19" x14ac:dyDescent="0.25">
      <c r="A346" s="279">
        <v>67</v>
      </c>
      <c r="B346" s="382" t="s">
        <v>61</v>
      </c>
      <c r="C346" s="274">
        <v>3271</v>
      </c>
      <c r="D346" s="274">
        <v>593</v>
      </c>
      <c r="E346" s="274">
        <v>761</v>
      </c>
      <c r="F346" s="274">
        <v>1594</v>
      </c>
      <c r="G346" s="383"/>
      <c r="R346" s="262"/>
      <c r="S346" s="262"/>
    </row>
    <row r="347" spans="1:19" x14ac:dyDescent="0.25">
      <c r="A347" s="279">
        <v>69</v>
      </c>
      <c r="B347" s="382" t="s">
        <v>32</v>
      </c>
      <c r="C347" s="274">
        <v>4948</v>
      </c>
      <c r="D347" s="274">
        <v>766</v>
      </c>
      <c r="E347" s="274">
        <v>1153</v>
      </c>
      <c r="F347" s="274">
        <v>2412</v>
      </c>
      <c r="G347" s="383"/>
      <c r="R347" s="262"/>
      <c r="S347" s="262"/>
    </row>
    <row r="348" spans="1:19" x14ac:dyDescent="0.25">
      <c r="A348" s="279">
        <v>71</v>
      </c>
      <c r="B348" s="382" t="s">
        <v>14</v>
      </c>
      <c r="C348" s="274">
        <v>4676</v>
      </c>
      <c r="D348" s="274">
        <v>680</v>
      </c>
      <c r="E348" s="274">
        <v>1089</v>
      </c>
      <c r="F348" s="274">
        <v>2279</v>
      </c>
      <c r="G348" s="383"/>
      <c r="R348" s="262"/>
      <c r="S348" s="262"/>
    </row>
    <row r="349" spans="1:19" x14ac:dyDescent="0.25">
      <c r="A349" s="279">
        <v>103</v>
      </c>
      <c r="B349" s="382" t="s">
        <v>15</v>
      </c>
      <c r="C349" s="274">
        <v>14676</v>
      </c>
      <c r="D349" s="274">
        <v>1675</v>
      </c>
      <c r="E349" s="274">
        <v>2907</v>
      </c>
      <c r="F349" s="274">
        <v>8298</v>
      </c>
      <c r="G349" s="383"/>
      <c r="R349" s="262"/>
      <c r="S349" s="262"/>
    </row>
    <row r="350" spans="1:19" x14ac:dyDescent="0.25">
      <c r="A350" s="279">
        <v>73</v>
      </c>
      <c r="B350" s="382" t="s">
        <v>17</v>
      </c>
      <c r="C350" s="274">
        <v>2845</v>
      </c>
      <c r="D350" s="274">
        <v>130</v>
      </c>
      <c r="E350" s="274">
        <v>731</v>
      </c>
      <c r="F350" s="274">
        <v>1529</v>
      </c>
      <c r="G350" s="383"/>
      <c r="R350" s="262"/>
      <c r="S350" s="262"/>
    </row>
    <row r="351" spans="1:19" x14ac:dyDescent="0.25">
      <c r="A351" s="279">
        <v>232</v>
      </c>
      <c r="B351" s="382" t="s">
        <v>55</v>
      </c>
      <c r="C351" s="274">
        <v>6442</v>
      </c>
      <c r="D351" s="274">
        <v>100</v>
      </c>
      <c r="E351" s="274">
        <v>1477</v>
      </c>
      <c r="F351" s="274">
        <v>3091</v>
      </c>
      <c r="G351" s="383"/>
      <c r="R351" s="262"/>
      <c r="S351" s="262"/>
    </row>
    <row r="352" spans="1:19" x14ac:dyDescent="0.25">
      <c r="A352" s="279">
        <v>75</v>
      </c>
      <c r="B352" s="382" t="s">
        <v>62</v>
      </c>
      <c r="C352" s="274">
        <v>3197</v>
      </c>
      <c r="D352" s="274">
        <v>524</v>
      </c>
      <c r="E352" s="274">
        <v>743</v>
      </c>
      <c r="F352" s="274">
        <v>1558</v>
      </c>
      <c r="G352" s="383"/>
      <c r="R352" s="262"/>
      <c r="S352" s="262"/>
    </row>
    <row r="353" spans="1:19" x14ac:dyDescent="0.25">
      <c r="A353" s="279">
        <v>275</v>
      </c>
      <c r="B353" s="382" t="s">
        <v>51</v>
      </c>
      <c r="C353" s="274">
        <v>963</v>
      </c>
      <c r="D353" s="274">
        <v>0</v>
      </c>
      <c r="E353" s="274">
        <v>279</v>
      </c>
      <c r="F353" s="274">
        <v>564</v>
      </c>
      <c r="G353" s="383"/>
      <c r="R353" s="262"/>
      <c r="S353" s="262"/>
    </row>
    <row r="354" spans="1:19" x14ac:dyDescent="0.25">
      <c r="A354" s="279">
        <v>203</v>
      </c>
      <c r="B354" s="382" t="s">
        <v>33</v>
      </c>
      <c r="C354" s="274">
        <v>2971</v>
      </c>
      <c r="D354" s="274">
        <v>286</v>
      </c>
      <c r="E354" s="274">
        <v>762</v>
      </c>
      <c r="F354" s="274">
        <v>1597</v>
      </c>
      <c r="G354" s="383"/>
      <c r="R354" s="262"/>
      <c r="S354" s="262"/>
    </row>
    <row r="355" spans="1:19" x14ac:dyDescent="0.25">
      <c r="A355" s="279">
        <v>79</v>
      </c>
      <c r="B355" s="382" t="s">
        <v>34</v>
      </c>
      <c r="C355" s="274">
        <v>4353</v>
      </c>
      <c r="D355" s="274">
        <v>624</v>
      </c>
      <c r="E355" s="274">
        <v>1014</v>
      </c>
      <c r="F355" s="274">
        <v>2122</v>
      </c>
      <c r="G355" s="383"/>
      <c r="R355" s="262"/>
      <c r="S355" s="262"/>
    </row>
    <row r="356" spans="1:19" x14ac:dyDescent="0.25">
      <c r="A356" s="279">
        <v>231</v>
      </c>
      <c r="B356" s="382" t="s">
        <v>54</v>
      </c>
      <c r="C356" s="274">
        <v>7559</v>
      </c>
      <c r="D356" s="274">
        <v>549</v>
      </c>
      <c r="E356" s="274">
        <v>1985</v>
      </c>
      <c r="F356" s="274">
        <v>4154</v>
      </c>
      <c r="G356" s="383"/>
      <c r="R356" s="262"/>
      <c r="S356" s="262"/>
    </row>
    <row r="357" spans="1:19" x14ac:dyDescent="0.25">
      <c r="A357" s="279">
        <v>115</v>
      </c>
      <c r="B357" s="382" t="s">
        <v>23</v>
      </c>
      <c r="C357" s="274">
        <v>5566</v>
      </c>
      <c r="D357" s="274">
        <v>1000</v>
      </c>
      <c r="E357" s="274">
        <v>1320</v>
      </c>
      <c r="F357" s="274">
        <v>1620</v>
      </c>
      <c r="G357" s="383"/>
      <c r="R357" s="262"/>
      <c r="S357" s="262"/>
    </row>
    <row r="358" spans="1:19" x14ac:dyDescent="0.25">
      <c r="A358" s="279">
        <v>81</v>
      </c>
      <c r="B358" s="382" t="s">
        <v>35</v>
      </c>
      <c r="C358" s="274">
        <v>2220</v>
      </c>
      <c r="D358" s="274">
        <v>0</v>
      </c>
      <c r="E358" s="274">
        <v>367</v>
      </c>
      <c r="F358" s="274">
        <v>1240</v>
      </c>
      <c r="G358" s="383"/>
      <c r="R358" s="262"/>
      <c r="S358" s="262"/>
    </row>
    <row r="359" spans="1:19" x14ac:dyDescent="0.25">
      <c r="A359" s="279">
        <v>83</v>
      </c>
      <c r="B359" s="382" t="s">
        <v>26</v>
      </c>
      <c r="C359" s="274">
        <v>7951</v>
      </c>
      <c r="D359" s="274">
        <v>705</v>
      </c>
      <c r="E359" s="274">
        <v>1934</v>
      </c>
      <c r="F359" s="274">
        <v>4047</v>
      </c>
      <c r="G359" s="383"/>
      <c r="R359" s="262"/>
      <c r="S359" s="262"/>
    </row>
    <row r="360" spans="1:19" x14ac:dyDescent="0.25">
      <c r="A360" s="279">
        <v>85</v>
      </c>
      <c r="B360" s="382" t="s">
        <v>36</v>
      </c>
      <c r="C360" s="274">
        <v>2452</v>
      </c>
      <c r="D360" s="274">
        <v>146</v>
      </c>
      <c r="E360" s="274">
        <v>587</v>
      </c>
      <c r="F360" s="274">
        <v>1230</v>
      </c>
      <c r="G360" s="383"/>
      <c r="R360" s="262"/>
      <c r="S360" s="262"/>
    </row>
    <row r="361" spans="1:19" x14ac:dyDescent="0.25">
      <c r="A361" s="279">
        <v>87</v>
      </c>
      <c r="B361" s="382" t="s">
        <v>28</v>
      </c>
      <c r="C361" s="274">
        <v>5110</v>
      </c>
      <c r="D361" s="274">
        <v>741</v>
      </c>
      <c r="E361" s="274">
        <v>1404</v>
      </c>
      <c r="F361" s="274">
        <v>2354</v>
      </c>
      <c r="G361" s="383"/>
      <c r="R361" s="262"/>
      <c r="S361" s="262"/>
    </row>
    <row r="362" spans="1:19" x14ac:dyDescent="0.25">
      <c r="A362" s="279">
        <v>188</v>
      </c>
      <c r="B362" s="382" t="s">
        <v>27</v>
      </c>
      <c r="C362" s="274">
        <v>5675</v>
      </c>
      <c r="D362" s="274">
        <v>5675</v>
      </c>
      <c r="E362" s="274">
        <v>0</v>
      </c>
      <c r="F362" s="274">
        <v>0</v>
      </c>
      <c r="G362" s="383"/>
      <c r="R362" s="262"/>
      <c r="S362" s="262"/>
    </row>
    <row r="363" spans="1:19" x14ac:dyDescent="0.25">
      <c r="A363" s="279">
        <v>29</v>
      </c>
      <c r="B363" s="382" t="s">
        <v>185</v>
      </c>
      <c r="C363" s="274">
        <v>12120</v>
      </c>
      <c r="D363" s="274">
        <v>1987</v>
      </c>
      <c r="E363" s="274">
        <v>2899</v>
      </c>
      <c r="F363" s="274">
        <v>6006</v>
      </c>
      <c r="G363" s="383"/>
      <c r="R363" s="262"/>
      <c r="S363" s="262"/>
    </row>
    <row r="364" spans="1:19" x14ac:dyDescent="0.25">
      <c r="A364" s="279">
        <v>33</v>
      </c>
      <c r="B364" s="382" t="s">
        <v>49</v>
      </c>
      <c r="C364" s="274">
        <v>20692</v>
      </c>
      <c r="D364" s="274">
        <v>4530</v>
      </c>
      <c r="E364" s="274">
        <v>5002</v>
      </c>
      <c r="F364" s="274">
        <v>10362</v>
      </c>
      <c r="G364" s="383"/>
      <c r="R364" s="262"/>
      <c r="S364" s="262"/>
    </row>
    <row r="365" spans="1:19" x14ac:dyDescent="0.25">
      <c r="A365" s="279">
        <v>35</v>
      </c>
      <c r="B365" s="382" t="s">
        <v>50</v>
      </c>
      <c r="C365" s="274">
        <v>2983</v>
      </c>
      <c r="D365" s="274">
        <v>156</v>
      </c>
      <c r="E365" s="274">
        <v>210</v>
      </c>
      <c r="F365" s="274">
        <v>1132</v>
      </c>
      <c r="G365" s="383"/>
      <c r="R365" s="262"/>
      <c r="S365" s="262"/>
    </row>
    <row r="366" spans="1:19" x14ac:dyDescent="0.25">
      <c r="A366" s="279">
        <v>140</v>
      </c>
      <c r="B366" s="382" t="s">
        <v>488</v>
      </c>
      <c r="C366" s="274">
        <v>21706</v>
      </c>
      <c r="D366" s="274">
        <v>3358</v>
      </c>
      <c r="E366" s="274">
        <v>5481</v>
      </c>
      <c r="F366" s="274">
        <v>10909</v>
      </c>
      <c r="G366" s="383"/>
      <c r="R366" s="262"/>
      <c r="S366" s="262"/>
    </row>
    <row r="367" spans="1:19" x14ac:dyDescent="0.25">
      <c r="A367" s="279">
        <v>49</v>
      </c>
      <c r="B367" s="382" t="s">
        <v>18</v>
      </c>
      <c r="C367" s="274">
        <v>9561</v>
      </c>
      <c r="D367" s="274">
        <v>1797</v>
      </c>
      <c r="E367" s="274">
        <v>2286</v>
      </c>
      <c r="F367" s="274">
        <v>4737</v>
      </c>
      <c r="G367" s="383"/>
      <c r="R367" s="262"/>
      <c r="S367" s="262"/>
    </row>
    <row r="368" spans="1:19" x14ac:dyDescent="0.25">
      <c r="A368" s="279">
        <v>4</v>
      </c>
      <c r="B368" s="382" t="s">
        <v>53</v>
      </c>
      <c r="C368" s="274">
        <v>18236</v>
      </c>
      <c r="D368" s="274">
        <v>3085</v>
      </c>
      <c r="E368" s="274">
        <v>4498</v>
      </c>
      <c r="F368" s="274">
        <v>9318</v>
      </c>
      <c r="G368" s="383"/>
      <c r="R368" s="262"/>
      <c r="S368" s="262"/>
    </row>
    <row r="369" spans="1:19" x14ac:dyDescent="0.25">
      <c r="A369" s="279">
        <v>10</v>
      </c>
      <c r="B369" s="382" t="s">
        <v>239</v>
      </c>
      <c r="C369" s="274">
        <v>30836</v>
      </c>
      <c r="D369" s="274">
        <v>4967</v>
      </c>
      <c r="E369" s="274">
        <v>7425</v>
      </c>
      <c r="F369" s="274">
        <v>15383</v>
      </c>
      <c r="G369" s="383"/>
      <c r="R369" s="262"/>
      <c r="S369" s="262"/>
    </row>
    <row r="370" spans="1:19" x14ac:dyDescent="0.25">
      <c r="A370" s="279">
        <v>13</v>
      </c>
      <c r="B370" s="382" t="s">
        <v>63</v>
      </c>
      <c r="C370" s="274">
        <v>5242</v>
      </c>
      <c r="D370" s="274">
        <v>942</v>
      </c>
      <c r="E370" s="274">
        <v>1254</v>
      </c>
      <c r="F370" s="274">
        <v>2597</v>
      </c>
      <c r="G370" s="383"/>
      <c r="R370" s="262"/>
      <c r="S370" s="262"/>
    </row>
    <row r="371" spans="1:19" x14ac:dyDescent="0.25">
      <c r="A371" s="279">
        <v>354</v>
      </c>
      <c r="B371" s="382" t="s">
        <v>59</v>
      </c>
      <c r="C371" s="274">
        <v>28120</v>
      </c>
      <c r="D371" s="274">
        <v>4317</v>
      </c>
      <c r="E371" s="274">
        <v>7143</v>
      </c>
      <c r="F371" s="274">
        <v>14801</v>
      </c>
      <c r="G371" s="383"/>
      <c r="R371" s="262"/>
      <c r="S371" s="262"/>
    </row>
    <row r="372" spans="1:19" x14ac:dyDescent="0.25">
      <c r="A372" s="279">
        <v>173</v>
      </c>
      <c r="B372" s="382" t="s">
        <v>42</v>
      </c>
      <c r="C372" s="274">
        <v>328</v>
      </c>
      <c r="D372" s="274">
        <v>0</v>
      </c>
      <c r="E372" s="274">
        <v>57</v>
      </c>
      <c r="F372" s="274">
        <v>109</v>
      </c>
      <c r="G372" s="383"/>
      <c r="R372" s="262"/>
      <c r="S372" s="262"/>
    </row>
    <row r="373" spans="1:19" x14ac:dyDescent="0.25">
      <c r="A373" s="279">
        <v>151</v>
      </c>
      <c r="B373" s="382" t="s">
        <v>66</v>
      </c>
      <c r="C373" s="274">
        <v>1148</v>
      </c>
      <c r="D373" s="274">
        <v>156</v>
      </c>
      <c r="E373" s="274">
        <v>310</v>
      </c>
      <c r="F373" s="274">
        <v>306</v>
      </c>
      <c r="G373" s="383"/>
      <c r="R373" s="262"/>
      <c r="S373" s="262"/>
    </row>
    <row r="374" spans="1:19" x14ac:dyDescent="0.25">
      <c r="A374" s="306">
        <v>294</v>
      </c>
      <c r="B374" s="95" t="s">
        <v>58</v>
      </c>
      <c r="C374" s="274">
        <v>622</v>
      </c>
      <c r="D374" s="274">
        <v>0</v>
      </c>
      <c r="E374" s="274">
        <v>60</v>
      </c>
      <c r="F374" s="274">
        <v>124</v>
      </c>
      <c r="G374" s="383"/>
      <c r="R374" s="262"/>
      <c r="S374" s="262"/>
    </row>
    <row r="375" spans="1:19" x14ac:dyDescent="0.25">
      <c r="A375" s="306">
        <v>205</v>
      </c>
      <c r="B375" s="95" t="s">
        <v>243</v>
      </c>
      <c r="C375" s="274">
        <v>3826</v>
      </c>
      <c r="D375" s="274">
        <v>765</v>
      </c>
      <c r="E375" s="274">
        <v>415</v>
      </c>
      <c r="F375" s="274">
        <v>803</v>
      </c>
      <c r="G375" s="383"/>
      <c r="R375" s="262"/>
      <c r="S375" s="262"/>
    </row>
    <row r="376" spans="1:19" x14ac:dyDescent="0.25">
      <c r="A376" s="279">
        <v>144</v>
      </c>
      <c r="B376" s="382" t="s">
        <v>24</v>
      </c>
      <c r="C376" s="274">
        <v>3000</v>
      </c>
      <c r="D376" s="274">
        <v>3000</v>
      </c>
      <c r="E376" s="274">
        <v>0</v>
      </c>
      <c r="F376" s="274">
        <v>0</v>
      </c>
      <c r="G376" s="383"/>
      <c r="R376" s="262"/>
      <c r="S376" s="262"/>
    </row>
    <row r="377" spans="1:19" x14ac:dyDescent="0.25">
      <c r="A377" s="279">
        <v>142</v>
      </c>
      <c r="B377" s="382" t="s">
        <v>176</v>
      </c>
      <c r="C377" s="274">
        <v>430</v>
      </c>
      <c r="D377" s="274">
        <v>0</v>
      </c>
      <c r="E377" s="274">
        <v>0</v>
      </c>
      <c r="F377" s="274">
        <v>0</v>
      </c>
      <c r="G377" s="383"/>
      <c r="R377" s="262"/>
      <c r="S377" s="262"/>
    </row>
    <row r="378" spans="1:19" x14ac:dyDescent="0.25">
      <c r="A378" s="279">
        <v>129</v>
      </c>
      <c r="B378" s="382" t="s">
        <v>224</v>
      </c>
      <c r="C378" s="274">
        <v>570</v>
      </c>
      <c r="D378" s="274">
        <v>0</v>
      </c>
      <c r="E378" s="274">
        <v>0</v>
      </c>
      <c r="F378" s="274">
        <v>0</v>
      </c>
      <c r="G378" s="383"/>
      <c r="R378" s="262"/>
      <c r="S378" s="262"/>
    </row>
    <row r="379" spans="1:19" x14ac:dyDescent="0.25">
      <c r="A379" s="279"/>
      <c r="B379" s="295" t="s">
        <v>43</v>
      </c>
      <c r="C379" s="296">
        <f>SUM(C342:C378)</f>
        <v>264095</v>
      </c>
      <c r="D379" s="296">
        <f>SUM(D342:D378)</f>
        <v>45456</v>
      </c>
      <c r="E379" s="296">
        <f>SUM(E342:E378)</f>
        <v>60339</v>
      </c>
      <c r="F379" s="296">
        <f>SUM(F342:F378)</f>
        <v>126338</v>
      </c>
      <c r="G379" s="381"/>
      <c r="R379" s="262"/>
      <c r="S379" s="262"/>
    </row>
    <row r="380" spans="1:19" ht="20.25" customHeight="1" x14ac:dyDescent="0.25">
      <c r="R380" s="262"/>
      <c r="S380" s="262"/>
    </row>
    <row r="381" spans="1:19" ht="23.25" customHeight="1" x14ac:dyDescent="0.25">
      <c r="B381" s="475" t="s">
        <v>351</v>
      </c>
      <c r="C381" s="475"/>
      <c r="D381" s="475"/>
      <c r="E381" s="475"/>
      <c r="F381" s="475"/>
      <c r="R381" s="262"/>
      <c r="S381" s="262"/>
    </row>
    <row r="382" spans="1:19" ht="18.75" customHeight="1" x14ac:dyDescent="0.25">
      <c r="A382" s="493" t="s">
        <v>2</v>
      </c>
      <c r="B382" s="493" t="s">
        <v>273</v>
      </c>
      <c r="C382" s="493" t="s">
        <v>352</v>
      </c>
      <c r="D382" s="384" t="s">
        <v>179</v>
      </c>
      <c r="E382" s="493" t="s">
        <v>353</v>
      </c>
      <c r="F382" s="493" t="s">
        <v>354</v>
      </c>
      <c r="G382" s="493" t="s">
        <v>355</v>
      </c>
      <c r="H382" s="385"/>
      <c r="R382" s="262"/>
      <c r="S382" s="262"/>
    </row>
    <row r="383" spans="1:19" ht="65.25" customHeight="1" x14ac:dyDescent="0.25">
      <c r="A383" s="494"/>
      <c r="B383" s="501"/>
      <c r="C383" s="494"/>
      <c r="D383" s="386" t="s">
        <v>356</v>
      </c>
      <c r="E383" s="494"/>
      <c r="F383" s="494"/>
      <c r="G383" s="494"/>
      <c r="H383" s="387"/>
      <c r="R383" s="262"/>
      <c r="S383" s="262"/>
    </row>
    <row r="384" spans="1:19" x14ac:dyDescent="0.25">
      <c r="A384" s="384">
        <v>61</v>
      </c>
      <c r="B384" s="388" t="s">
        <v>48</v>
      </c>
      <c r="C384" s="389">
        <v>3053</v>
      </c>
      <c r="D384" s="390">
        <v>342</v>
      </c>
      <c r="E384" s="390">
        <v>0</v>
      </c>
      <c r="F384" s="390">
        <v>30</v>
      </c>
      <c r="G384" s="78">
        <v>852</v>
      </c>
      <c r="H384" s="84"/>
      <c r="R384" s="262"/>
      <c r="S384" s="262"/>
    </row>
    <row r="385" spans="1:19" x14ac:dyDescent="0.25">
      <c r="A385" s="384">
        <v>59</v>
      </c>
      <c r="B385" s="388" t="s">
        <v>29</v>
      </c>
      <c r="C385" s="389">
        <v>14142</v>
      </c>
      <c r="D385" s="390">
        <v>1610</v>
      </c>
      <c r="E385" s="390">
        <v>42</v>
      </c>
      <c r="F385" s="390">
        <v>145</v>
      </c>
      <c r="G385" s="78">
        <v>3798</v>
      </c>
      <c r="H385" s="84"/>
      <c r="R385" s="262"/>
      <c r="S385" s="262"/>
    </row>
    <row r="386" spans="1:19" x14ac:dyDescent="0.25">
      <c r="A386" s="384">
        <v>63</v>
      </c>
      <c r="B386" s="388" t="s">
        <v>30</v>
      </c>
      <c r="C386" s="389">
        <v>5484</v>
      </c>
      <c r="D386" s="390">
        <v>606</v>
      </c>
      <c r="E386" s="390">
        <v>54</v>
      </c>
      <c r="F386" s="390">
        <v>112</v>
      </c>
      <c r="G386" s="78">
        <v>3873</v>
      </c>
      <c r="H386" s="84"/>
      <c r="R386" s="262"/>
      <c r="S386" s="262"/>
    </row>
    <row r="387" spans="1:19" x14ac:dyDescent="0.25">
      <c r="A387" s="384">
        <v>65</v>
      </c>
      <c r="B387" s="388" t="s">
        <v>31</v>
      </c>
      <c r="C387" s="389">
        <v>5859</v>
      </c>
      <c r="D387" s="390">
        <v>637</v>
      </c>
      <c r="E387" s="390">
        <v>0</v>
      </c>
      <c r="F387" s="390">
        <v>57</v>
      </c>
      <c r="G387" s="78">
        <v>1293</v>
      </c>
      <c r="H387" s="84"/>
      <c r="R387" s="262"/>
      <c r="S387" s="262"/>
    </row>
    <row r="388" spans="1:19" x14ac:dyDescent="0.25">
      <c r="A388" s="384">
        <v>67</v>
      </c>
      <c r="B388" s="388" t="s">
        <v>228</v>
      </c>
      <c r="C388" s="389">
        <v>5201</v>
      </c>
      <c r="D388" s="390">
        <v>601</v>
      </c>
      <c r="E388" s="390">
        <v>50</v>
      </c>
      <c r="F388" s="390">
        <v>110</v>
      </c>
      <c r="G388" s="78">
        <v>1131</v>
      </c>
      <c r="H388" s="84"/>
      <c r="R388" s="262"/>
      <c r="S388" s="262"/>
    </row>
    <row r="389" spans="1:19" x14ac:dyDescent="0.25">
      <c r="A389" s="384">
        <v>69</v>
      </c>
      <c r="B389" s="388" t="s">
        <v>32</v>
      </c>
      <c r="C389" s="389">
        <v>7848</v>
      </c>
      <c r="D389" s="390">
        <v>877</v>
      </c>
      <c r="E389" s="390">
        <v>0</v>
      </c>
      <c r="F389" s="390">
        <v>68</v>
      </c>
      <c r="G389" s="78">
        <v>2248</v>
      </c>
      <c r="H389" s="84"/>
      <c r="R389" s="262"/>
      <c r="S389" s="262"/>
    </row>
    <row r="390" spans="1:19" x14ac:dyDescent="0.25">
      <c r="A390" s="384">
        <v>71</v>
      </c>
      <c r="B390" s="388" t="s">
        <v>14</v>
      </c>
      <c r="C390" s="389">
        <v>7576</v>
      </c>
      <c r="D390" s="390">
        <v>838</v>
      </c>
      <c r="E390" s="390">
        <v>65</v>
      </c>
      <c r="F390" s="390">
        <v>76</v>
      </c>
      <c r="G390" s="78">
        <v>1454</v>
      </c>
      <c r="H390" s="84"/>
      <c r="R390" s="262"/>
      <c r="S390" s="262"/>
    </row>
    <row r="391" spans="1:19" x14ac:dyDescent="0.25">
      <c r="A391" s="384">
        <v>103</v>
      </c>
      <c r="B391" s="388" t="s">
        <v>15</v>
      </c>
      <c r="C391" s="389">
        <v>16004</v>
      </c>
      <c r="D391" s="390">
        <v>1850</v>
      </c>
      <c r="E391" s="390">
        <v>25</v>
      </c>
      <c r="F391" s="390">
        <v>166</v>
      </c>
      <c r="G391" s="78">
        <v>4350</v>
      </c>
      <c r="H391" s="84"/>
      <c r="R391" s="262"/>
      <c r="S391" s="262"/>
    </row>
    <row r="392" spans="1:19" x14ac:dyDescent="0.25">
      <c r="A392" s="384">
        <v>73</v>
      </c>
      <c r="B392" s="388" t="s">
        <v>17</v>
      </c>
      <c r="C392" s="389">
        <v>5024</v>
      </c>
      <c r="D392" s="390">
        <v>556</v>
      </c>
      <c r="E392" s="390">
        <v>0</v>
      </c>
      <c r="F392" s="390">
        <v>66</v>
      </c>
      <c r="G392" s="78">
        <v>1093</v>
      </c>
      <c r="H392" s="84"/>
      <c r="R392" s="262"/>
      <c r="S392" s="262"/>
    </row>
    <row r="393" spans="1:19" x14ac:dyDescent="0.25">
      <c r="A393" s="384">
        <v>232</v>
      </c>
      <c r="B393" s="388" t="s">
        <v>55</v>
      </c>
      <c r="C393" s="389">
        <v>10088</v>
      </c>
      <c r="D393" s="390">
        <v>1192</v>
      </c>
      <c r="E393" s="390">
        <v>0</v>
      </c>
      <c r="F393" s="390">
        <v>66</v>
      </c>
      <c r="G393" s="78">
        <v>3111</v>
      </c>
      <c r="H393" s="84"/>
      <c r="R393" s="262"/>
      <c r="S393" s="262"/>
    </row>
    <row r="394" spans="1:19" x14ac:dyDescent="0.25">
      <c r="A394" s="384">
        <v>75</v>
      </c>
      <c r="B394" s="388" t="s">
        <v>229</v>
      </c>
      <c r="C394" s="389">
        <v>5190</v>
      </c>
      <c r="D394" s="390">
        <v>567</v>
      </c>
      <c r="E394" s="390">
        <v>72</v>
      </c>
      <c r="F394" s="390">
        <v>146</v>
      </c>
      <c r="G394" s="78">
        <v>1090</v>
      </c>
      <c r="H394" s="84"/>
      <c r="R394" s="262"/>
      <c r="S394" s="262"/>
    </row>
    <row r="395" spans="1:19" x14ac:dyDescent="0.25">
      <c r="A395" s="384">
        <v>275</v>
      </c>
      <c r="B395" s="388" t="s">
        <v>51</v>
      </c>
      <c r="C395" s="389">
        <v>1934</v>
      </c>
      <c r="D395" s="390">
        <v>218</v>
      </c>
      <c r="E395" s="390">
        <v>6</v>
      </c>
      <c r="F395" s="390">
        <v>22</v>
      </c>
      <c r="G395" s="78">
        <v>391</v>
      </c>
      <c r="H395" s="84"/>
      <c r="R395" s="262"/>
      <c r="S395" s="262"/>
    </row>
    <row r="396" spans="1:19" x14ac:dyDescent="0.25">
      <c r="A396" s="384">
        <v>203</v>
      </c>
      <c r="B396" s="388" t="s">
        <v>33</v>
      </c>
      <c r="C396" s="389">
        <v>5248</v>
      </c>
      <c r="D396" s="390">
        <v>590</v>
      </c>
      <c r="E396" s="390">
        <v>0</v>
      </c>
      <c r="F396" s="390">
        <v>65</v>
      </c>
      <c r="G396" s="78">
        <v>1334</v>
      </c>
      <c r="H396" s="84"/>
      <c r="R396" s="262"/>
      <c r="S396" s="262"/>
    </row>
    <row r="397" spans="1:19" x14ac:dyDescent="0.25">
      <c r="A397" s="384">
        <v>79</v>
      </c>
      <c r="B397" s="388" t="s">
        <v>34</v>
      </c>
      <c r="C397" s="389">
        <v>6911</v>
      </c>
      <c r="D397" s="390">
        <v>775</v>
      </c>
      <c r="E397" s="390">
        <v>0</v>
      </c>
      <c r="F397" s="390">
        <v>70</v>
      </c>
      <c r="G397" s="78">
        <v>1867</v>
      </c>
      <c r="H397" s="84"/>
      <c r="R397" s="262"/>
      <c r="S397" s="262"/>
    </row>
    <row r="398" spans="1:19" x14ac:dyDescent="0.25">
      <c r="A398" s="384">
        <v>231</v>
      </c>
      <c r="B398" s="388" t="s">
        <v>261</v>
      </c>
      <c r="C398" s="389">
        <v>13804</v>
      </c>
      <c r="D398" s="390">
        <v>1574</v>
      </c>
      <c r="E398" s="390">
        <v>0</v>
      </c>
      <c r="F398" s="390">
        <v>95</v>
      </c>
      <c r="G398" s="78">
        <v>3994</v>
      </c>
      <c r="H398" s="84"/>
      <c r="R398" s="262"/>
      <c r="S398" s="262"/>
    </row>
    <row r="399" spans="1:19" x14ac:dyDescent="0.25">
      <c r="A399" s="384">
        <v>115</v>
      </c>
      <c r="B399" s="388" t="s">
        <v>23</v>
      </c>
      <c r="C399" s="389">
        <v>14779</v>
      </c>
      <c r="D399" s="390">
        <v>1703</v>
      </c>
      <c r="E399" s="390">
        <v>0</v>
      </c>
      <c r="F399" s="390">
        <v>59</v>
      </c>
      <c r="G399" s="78">
        <v>4298</v>
      </c>
      <c r="H399" s="84"/>
      <c r="R399" s="262"/>
      <c r="S399" s="262"/>
    </row>
    <row r="400" spans="1:19" x14ac:dyDescent="0.25">
      <c r="A400" s="384">
        <v>81</v>
      </c>
      <c r="B400" s="388" t="s">
        <v>35</v>
      </c>
      <c r="C400" s="389">
        <v>2488</v>
      </c>
      <c r="D400" s="390">
        <v>180</v>
      </c>
      <c r="E400" s="390">
        <v>0</v>
      </c>
      <c r="F400" s="390">
        <v>90</v>
      </c>
      <c r="G400" s="78">
        <v>478</v>
      </c>
      <c r="H400" s="84"/>
      <c r="R400" s="262"/>
      <c r="S400" s="262"/>
    </row>
    <row r="401" spans="1:19" x14ac:dyDescent="0.25">
      <c r="A401" s="384">
        <v>83</v>
      </c>
      <c r="B401" s="388" t="s">
        <v>26</v>
      </c>
      <c r="C401" s="389">
        <v>13337</v>
      </c>
      <c r="D401" s="390">
        <v>1574</v>
      </c>
      <c r="E401" s="390">
        <v>0</v>
      </c>
      <c r="F401" s="390">
        <v>86</v>
      </c>
      <c r="G401" s="78">
        <v>4907</v>
      </c>
      <c r="H401" s="84"/>
      <c r="R401" s="262"/>
      <c r="S401" s="262"/>
    </row>
    <row r="402" spans="1:19" x14ac:dyDescent="0.25">
      <c r="A402" s="384">
        <v>85</v>
      </c>
      <c r="B402" s="388" t="s">
        <v>36</v>
      </c>
      <c r="C402" s="389">
        <v>4050</v>
      </c>
      <c r="D402" s="390">
        <v>446</v>
      </c>
      <c r="E402" s="390">
        <v>0</v>
      </c>
      <c r="F402" s="390">
        <v>47</v>
      </c>
      <c r="G402" s="78">
        <v>1091</v>
      </c>
      <c r="H402" s="84"/>
      <c r="R402" s="262"/>
      <c r="S402" s="262"/>
    </row>
    <row r="403" spans="1:19" x14ac:dyDescent="0.25">
      <c r="A403" s="384">
        <v>87</v>
      </c>
      <c r="B403" s="388" t="s">
        <v>28</v>
      </c>
      <c r="C403" s="389">
        <v>7932</v>
      </c>
      <c r="D403" s="390">
        <v>865</v>
      </c>
      <c r="E403" s="390">
        <v>0</v>
      </c>
      <c r="F403" s="390">
        <v>78</v>
      </c>
      <c r="G403" s="78">
        <v>1798</v>
      </c>
      <c r="H403" s="84"/>
      <c r="R403" s="262"/>
      <c r="S403" s="262"/>
    </row>
    <row r="404" spans="1:19" x14ac:dyDescent="0.25">
      <c r="A404" s="384">
        <v>29</v>
      </c>
      <c r="B404" s="388" t="s">
        <v>185</v>
      </c>
      <c r="C404" s="389">
        <v>20689</v>
      </c>
      <c r="D404" s="390">
        <v>2320</v>
      </c>
      <c r="E404" s="390">
        <v>0</v>
      </c>
      <c r="F404" s="390">
        <v>0</v>
      </c>
      <c r="G404" s="78">
        <v>3090</v>
      </c>
      <c r="H404" s="84"/>
      <c r="R404" s="262"/>
      <c r="S404" s="262"/>
    </row>
    <row r="405" spans="1:19" x14ac:dyDescent="0.25">
      <c r="A405" s="384">
        <v>33</v>
      </c>
      <c r="B405" s="388" t="s">
        <v>49</v>
      </c>
      <c r="C405" s="389">
        <v>42626</v>
      </c>
      <c r="D405" s="390">
        <v>4943</v>
      </c>
      <c r="E405" s="390">
        <v>0</v>
      </c>
      <c r="F405" s="390">
        <v>0</v>
      </c>
      <c r="G405" s="78">
        <v>9052</v>
      </c>
      <c r="H405" s="84"/>
      <c r="R405" s="262"/>
      <c r="S405" s="262"/>
    </row>
    <row r="406" spans="1:19" x14ac:dyDescent="0.25">
      <c r="A406" s="384">
        <v>35</v>
      </c>
      <c r="B406" s="388" t="s">
        <v>50</v>
      </c>
      <c r="C406" s="389">
        <v>12865</v>
      </c>
      <c r="D406" s="390">
        <v>3000</v>
      </c>
      <c r="E406" s="390">
        <v>0</v>
      </c>
      <c r="F406" s="390">
        <v>0</v>
      </c>
      <c r="G406" s="78">
        <v>9721</v>
      </c>
      <c r="H406" s="84"/>
      <c r="R406" s="262"/>
      <c r="S406" s="262"/>
    </row>
    <row r="407" spans="1:19" x14ac:dyDescent="0.25">
      <c r="A407" s="384">
        <v>140</v>
      </c>
      <c r="B407" s="388" t="s">
        <v>488</v>
      </c>
      <c r="C407" s="389">
        <v>32393</v>
      </c>
      <c r="D407" s="390">
        <v>3809</v>
      </c>
      <c r="E407" s="390">
        <v>0</v>
      </c>
      <c r="F407" s="390">
        <v>163</v>
      </c>
      <c r="G407" s="78">
        <v>8695</v>
      </c>
      <c r="H407" s="84"/>
      <c r="R407" s="262"/>
      <c r="S407" s="262"/>
    </row>
    <row r="408" spans="1:19" x14ac:dyDescent="0.25">
      <c r="A408" s="384">
        <v>49</v>
      </c>
      <c r="B408" s="388" t="s">
        <v>18</v>
      </c>
      <c r="C408" s="389">
        <v>15582</v>
      </c>
      <c r="D408" s="390">
        <v>1812</v>
      </c>
      <c r="E408" s="390">
        <v>0</v>
      </c>
      <c r="F408" s="390">
        <v>0</v>
      </c>
      <c r="G408" s="78">
        <v>2438</v>
      </c>
      <c r="H408" s="84"/>
      <c r="R408" s="262"/>
      <c r="S408" s="262"/>
    </row>
    <row r="409" spans="1:19" x14ac:dyDescent="0.25">
      <c r="A409" s="384">
        <v>133</v>
      </c>
      <c r="B409" s="294" t="s">
        <v>222</v>
      </c>
      <c r="C409" s="389">
        <v>0</v>
      </c>
      <c r="D409" s="390">
        <v>0</v>
      </c>
      <c r="E409" s="390">
        <v>114</v>
      </c>
      <c r="F409" s="390">
        <v>128</v>
      </c>
      <c r="G409" s="78">
        <v>0</v>
      </c>
      <c r="H409" s="84"/>
      <c r="R409" s="262"/>
      <c r="S409" s="262"/>
    </row>
    <row r="410" spans="1:19" x14ac:dyDescent="0.25">
      <c r="A410" s="384">
        <v>135</v>
      </c>
      <c r="B410" s="388" t="s">
        <v>238</v>
      </c>
      <c r="C410" s="389">
        <v>0</v>
      </c>
      <c r="D410" s="390">
        <v>0</v>
      </c>
      <c r="E410" s="390">
        <v>45</v>
      </c>
      <c r="F410" s="390">
        <v>585</v>
      </c>
      <c r="G410" s="78">
        <v>0</v>
      </c>
      <c r="H410" s="84"/>
      <c r="R410" s="262"/>
      <c r="S410" s="262"/>
    </row>
    <row r="411" spans="1:19" x14ac:dyDescent="0.25">
      <c r="A411" s="384">
        <v>4</v>
      </c>
      <c r="B411" s="388" t="s">
        <v>53</v>
      </c>
      <c r="C411" s="389">
        <v>30059</v>
      </c>
      <c r="D411" s="390">
        <v>3571</v>
      </c>
      <c r="E411" s="390">
        <v>0</v>
      </c>
      <c r="F411" s="390">
        <v>0</v>
      </c>
      <c r="G411" s="78">
        <v>5816</v>
      </c>
      <c r="H411" s="84"/>
      <c r="R411" s="262"/>
      <c r="S411" s="262"/>
    </row>
    <row r="412" spans="1:19" x14ac:dyDescent="0.25">
      <c r="A412" s="384">
        <v>10</v>
      </c>
      <c r="B412" s="388" t="s">
        <v>239</v>
      </c>
      <c r="C412" s="389">
        <v>49704</v>
      </c>
      <c r="D412" s="390">
        <v>5918</v>
      </c>
      <c r="E412" s="390">
        <v>0</v>
      </c>
      <c r="F412" s="390">
        <v>0</v>
      </c>
      <c r="G412" s="78">
        <v>8314</v>
      </c>
      <c r="H412" s="84"/>
      <c r="R412" s="262"/>
      <c r="S412" s="262"/>
    </row>
    <row r="413" spans="1:19" x14ac:dyDescent="0.25">
      <c r="A413" s="384">
        <v>13</v>
      </c>
      <c r="B413" s="388" t="s">
        <v>63</v>
      </c>
      <c r="C413" s="389">
        <v>8358</v>
      </c>
      <c r="D413" s="390">
        <v>1022</v>
      </c>
      <c r="E413" s="390">
        <v>0</v>
      </c>
      <c r="F413" s="390">
        <v>0</v>
      </c>
      <c r="G413" s="78">
        <v>3009</v>
      </c>
      <c r="H413" s="84"/>
      <c r="R413" s="262"/>
      <c r="S413" s="262"/>
    </row>
    <row r="414" spans="1:19" x14ac:dyDescent="0.25">
      <c r="A414" s="384">
        <v>354</v>
      </c>
      <c r="B414" s="388" t="s">
        <v>59</v>
      </c>
      <c r="C414" s="389">
        <v>49870</v>
      </c>
      <c r="D414" s="390">
        <v>5610</v>
      </c>
      <c r="E414" s="390">
        <v>0</v>
      </c>
      <c r="F414" s="390">
        <v>165</v>
      </c>
      <c r="G414" s="78">
        <v>10187</v>
      </c>
      <c r="H414" s="84"/>
      <c r="R414" s="262"/>
      <c r="S414" s="262"/>
    </row>
    <row r="415" spans="1:19" x14ac:dyDescent="0.25">
      <c r="A415" s="384">
        <v>173</v>
      </c>
      <c r="B415" s="388" t="s">
        <v>42</v>
      </c>
      <c r="C415" s="389">
        <v>362</v>
      </c>
      <c r="D415" s="390">
        <v>59</v>
      </c>
      <c r="E415" s="390">
        <v>0</v>
      </c>
      <c r="F415" s="390">
        <v>0</v>
      </c>
      <c r="G415" s="78">
        <v>79</v>
      </c>
      <c r="H415" s="84"/>
      <c r="R415" s="262"/>
      <c r="S415" s="262"/>
    </row>
    <row r="416" spans="1:19" x14ac:dyDescent="0.25">
      <c r="A416" s="384">
        <v>151</v>
      </c>
      <c r="B416" s="388" t="s">
        <v>66</v>
      </c>
      <c r="C416" s="389">
        <v>3119</v>
      </c>
      <c r="D416" s="390">
        <v>172</v>
      </c>
      <c r="E416" s="390">
        <v>0</v>
      </c>
      <c r="F416" s="390">
        <v>0</v>
      </c>
      <c r="G416" s="78">
        <v>126</v>
      </c>
      <c r="H416" s="84"/>
      <c r="R416" s="262"/>
      <c r="S416" s="262"/>
    </row>
    <row r="417" spans="1:19" x14ac:dyDescent="0.25">
      <c r="A417" s="384">
        <v>295</v>
      </c>
      <c r="B417" s="388" t="s">
        <v>357</v>
      </c>
      <c r="C417" s="389">
        <v>0</v>
      </c>
      <c r="D417" s="390">
        <v>0</v>
      </c>
      <c r="E417" s="390">
        <v>0</v>
      </c>
      <c r="F417" s="390">
        <v>0</v>
      </c>
      <c r="G417" s="78">
        <v>0</v>
      </c>
      <c r="H417" s="84"/>
      <c r="R417" s="262"/>
      <c r="S417" s="262"/>
    </row>
    <row r="418" spans="1:19" x14ac:dyDescent="0.25">
      <c r="A418" s="384">
        <v>294</v>
      </c>
      <c r="B418" s="388" t="s">
        <v>58</v>
      </c>
      <c r="C418" s="389">
        <v>578</v>
      </c>
      <c r="D418" s="390">
        <v>44</v>
      </c>
      <c r="E418" s="390">
        <v>0</v>
      </c>
      <c r="F418" s="390">
        <v>0</v>
      </c>
      <c r="G418" s="78">
        <v>46</v>
      </c>
      <c r="H418" s="84"/>
      <c r="R418" s="262"/>
      <c r="S418" s="262"/>
    </row>
    <row r="419" spans="1:19" x14ac:dyDescent="0.25">
      <c r="A419" s="384">
        <v>205</v>
      </c>
      <c r="B419" s="388" t="s">
        <v>243</v>
      </c>
      <c r="C419" s="389">
        <v>10965</v>
      </c>
      <c r="D419" s="390">
        <v>1334</v>
      </c>
      <c r="E419" s="390">
        <v>0</v>
      </c>
      <c r="F419" s="390">
        <v>0</v>
      </c>
      <c r="G419" s="78">
        <v>2105</v>
      </c>
      <c r="H419" s="84"/>
      <c r="R419" s="262"/>
      <c r="S419" s="262"/>
    </row>
    <row r="420" spans="1:19" x14ac:dyDescent="0.25">
      <c r="A420" s="384">
        <v>142</v>
      </c>
      <c r="B420" s="388" t="s">
        <v>176</v>
      </c>
      <c r="C420" s="389">
        <v>0</v>
      </c>
      <c r="D420" s="390">
        <v>0</v>
      </c>
      <c r="E420" s="390">
        <v>0</v>
      </c>
      <c r="F420" s="390">
        <v>0</v>
      </c>
      <c r="G420" s="78">
        <v>8970</v>
      </c>
      <c r="H420" s="84"/>
      <c r="R420" s="262"/>
      <c r="S420" s="262"/>
    </row>
    <row r="421" spans="1:19" x14ac:dyDescent="0.25">
      <c r="A421" s="384">
        <v>129</v>
      </c>
      <c r="B421" s="388" t="s">
        <v>224</v>
      </c>
      <c r="C421" s="389">
        <v>0</v>
      </c>
      <c r="D421" s="390">
        <v>0</v>
      </c>
      <c r="E421" s="390">
        <v>0</v>
      </c>
      <c r="F421" s="390">
        <v>0</v>
      </c>
      <c r="G421" s="78">
        <v>17796</v>
      </c>
      <c r="H421" s="84"/>
      <c r="R421" s="262"/>
      <c r="S421" s="262"/>
    </row>
    <row r="422" spans="1:19" x14ac:dyDescent="0.25">
      <c r="A422" s="391">
        <v>292</v>
      </c>
      <c r="B422" s="227" t="s">
        <v>22</v>
      </c>
      <c r="C422" s="389">
        <v>0</v>
      </c>
      <c r="D422" s="390">
        <v>0</v>
      </c>
      <c r="E422" s="390">
        <v>0</v>
      </c>
      <c r="F422" s="390">
        <v>0</v>
      </c>
      <c r="G422" s="78">
        <v>2000</v>
      </c>
      <c r="H422" s="84"/>
      <c r="R422" s="262"/>
      <c r="S422" s="262"/>
    </row>
    <row r="423" spans="1:19" x14ac:dyDescent="0.25">
      <c r="A423" s="384"/>
      <c r="B423" s="392" t="s">
        <v>92</v>
      </c>
      <c r="C423" s="393">
        <f>SUM(C384:C419)</f>
        <v>433122</v>
      </c>
      <c r="D423" s="393">
        <f>SUM(D384:D419)</f>
        <v>51215</v>
      </c>
      <c r="E423" s="393">
        <f>SUM(E384:E419)</f>
        <v>473</v>
      </c>
      <c r="F423" s="393">
        <f>SUM(F384:F419)</f>
        <v>2695</v>
      </c>
      <c r="G423" s="393">
        <f>SUM(G384:G422)</f>
        <v>135895</v>
      </c>
      <c r="H423" s="394"/>
      <c r="R423" s="262"/>
      <c r="S423" s="262"/>
    </row>
    <row r="424" spans="1:19" ht="17.25" customHeight="1" x14ac:dyDescent="0.25">
      <c r="R424" s="262"/>
      <c r="S424" s="262"/>
    </row>
    <row r="425" spans="1:19" ht="22.5" customHeight="1" x14ac:dyDescent="0.25">
      <c r="B425" s="475" t="s">
        <v>358</v>
      </c>
      <c r="C425" s="475"/>
      <c r="D425" s="475"/>
      <c r="R425" s="262"/>
      <c r="S425" s="262"/>
    </row>
    <row r="426" spans="1:19" ht="15" customHeight="1" x14ac:dyDescent="0.25">
      <c r="A426" s="493" t="s">
        <v>2</v>
      </c>
      <c r="B426" s="521" t="s">
        <v>273</v>
      </c>
      <c r="C426" s="493" t="s">
        <v>359</v>
      </c>
      <c r="D426" s="493" t="s">
        <v>360</v>
      </c>
      <c r="R426" s="262"/>
      <c r="S426" s="262"/>
    </row>
    <row r="427" spans="1:19" ht="49.5" customHeight="1" x14ac:dyDescent="0.25">
      <c r="A427" s="494"/>
      <c r="B427" s="424"/>
      <c r="C427" s="522"/>
      <c r="D427" s="522"/>
      <c r="R427" s="262"/>
      <c r="S427" s="262"/>
    </row>
    <row r="428" spans="1:19" x14ac:dyDescent="0.25">
      <c r="A428" s="384">
        <v>61</v>
      </c>
      <c r="B428" s="388" t="s">
        <v>48</v>
      </c>
      <c r="C428" s="390">
        <v>511</v>
      </c>
      <c r="D428" s="390">
        <v>1244</v>
      </c>
      <c r="E428" s="395"/>
      <c r="R428" s="262"/>
      <c r="S428" s="262"/>
    </row>
    <row r="429" spans="1:19" x14ac:dyDescent="0.25">
      <c r="A429" s="384">
        <v>59</v>
      </c>
      <c r="B429" s="388" t="s">
        <v>29</v>
      </c>
      <c r="C429" s="390">
        <v>2587</v>
      </c>
      <c r="D429" s="390">
        <v>5860</v>
      </c>
      <c r="E429" s="395"/>
      <c r="R429" s="262"/>
      <c r="S429" s="262"/>
    </row>
    <row r="430" spans="1:19" x14ac:dyDescent="0.25">
      <c r="A430" s="384">
        <v>63</v>
      </c>
      <c r="B430" s="388" t="s">
        <v>30</v>
      </c>
      <c r="C430" s="390">
        <v>1100</v>
      </c>
      <c r="D430" s="390">
        <v>2321</v>
      </c>
      <c r="E430" s="395"/>
      <c r="R430" s="262"/>
      <c r="S430" s="262"/>
    </row>
    <row r="431" spans="1:19" x14ac:dyDescent="0.25">
      <c r="A431" s="384">
        <v>65</v>
      </c>
      <c r="B431" s="388" t="s">
        <v>31</v>
      </c>
      <c r="C431" s="390">
        <v>833</v>
      </c>
      <c r="D431" s="390">
        <v>2227</v>
      </c>
      <c r="E431" s="395"/>
      <c r="R431" s="262"/>
      <c r="S431" s="262"/>
    </row>
    <row r="432" spans="1:19" x14ac:dyDescent="0.25">
      <c r="A432" s="384">
        <v>67</v>
      </c>
      <c r="B432" s="388" t="s">
        <v>228</v>
      </c>
      <c r="C432" s="390">
        <v>840</v>
      </c>
      <c r="D432" s="390">
        <v>2010</v>
      </c>
      <c r="E432" s="395"/>
      <c r="R432" s="262"/>
      <c r="S432" s="262"/>
    </row>
    <row r="433" spans="1:19" x14ac:dyDescent="0.25">
      <c r="A433" s="384">
        <v>69</v>
      </c>
      <c r="B433" s="388" t="s">
        <v>32</v>
      </c>
      <c r="C433" s="390">
        <v>1311</v>
      </c>
      <c r="D433" s="390">
        <v>3325</v>
      </c>
      <c r="E433" s="395"/>
      <c r="R433" s="262"/>
      <c r="S433" s="262"/>
    </row>
    <row r="434" spans="1:19" x14ac:dyDescent="0.25">
      <c r="A434" s="384">
        <v>71</v>
      </c>
      <c r="B434" s="388" t="s">
        <v>14</v>
      </c>
      <c r="C434" s="390">
        <v>2000</v>
      </c>
      <c r="D434" s="390">
        <v>3265</v>
      </c>
      <c r="E434" s="395"/>
      <c r="R434" s="262"/>
      <c r="S434" s="262"/>
    </row>
    <row r="435" spans="1:19" x14ac:dyDescent="0.25">
      <c r="A435" s="384">
        <v>103</v>
      </c>
      <c r="B435" s="388" t="s">
        <v>15</v>
      </c>
      <c r="C435" s="390">
        <v>2950</v>
      </c>
      <c r="D435" s="390">
        <v>6469</v>
      </c>
      <c r="E435" s="395"/>
      <c r="R435" s="262"/>
      <c r="S435" s="262"/>
    </row>
    <row r="436" spans="1:19" x14ac:dyDescent="0.25">
      <c r="A436" s="384">
        <v>73</v>
      </c>
      <c r="B436" s="388" t="s">
        <v>17</v>
      </c>
      <c r="C436" s="390">
        <v>785</v>
      </c>
      <c r="D436" s="390">
        <v>1877</v>
      </c>
      <c r="E436" s="395"/>
      <c r="R436" s="262"/>
      <c r="S436" s="262"/>
    </row>
    <row r="437" spans="1:19" x14ac:dyDescent="0.25">
      <c r="A437" s="384">
        <v>232</v>
      </c>
      <c r="B437" s="388" t="s">
        <v>55</v>
      </c>
      <c r="C437" s="390">
        <v>2191</v>
      </c>
      <c r="D437" s="390">
        <v>6464</v>
      </c>
      <c r="E437" s="395"/>
      <c r="R437" s="262"/>
      <c r="S437" s="262"/>
    </row>
    <row r="438" spans="1:19" x14ac:dyDescent="0.25">
      <c r="A438" s="384">
        <v>75</v>
      </c>
      <c r="B438" s="388" t="s">
        <v>229</v>
      </c>
      <c r="C438" s="390">
        <v>762</v>
      </c>
      <c r="D438" s="390">
        <v>2095</v>
      </c>
      <c r="E438" s="395"/>
      <c r="R438" s="262"/>
      <c r="S438" s="262"/>
    </row>
    <row r="439" spans="1:19" x14ac:dyDescent="0.25">
      <c r="A439" s="384">
        <v>275</v>
      </c>
      <c r="B439" s="388" t="s">
        <v>51</v>
      </c>
      <c r="C439" s="390">
        <v>333</v>
      </c>
      <c r="D439" s="390">
        <v>928</v>
      </c>
      <c r="E439" s="395"/>
      <c r="R439" s="262"/>
      <c r="S439" s="262"/>
    </row>
    <row r="440" spans="1:19" x14ac:dyDescent="0.25">
      <c r="A440" s="384">
        <v>203</v>
      </c>
      <c r="B440" s="388" t="s">
        <v>33</v>
      </c>
      <c r="C440" s="390">
        <v>1551</v>
      </c>
      <c r="D440" s="390">
        <v>2372</v>
      </c>
      <c r="E440" s="395"/>
      <c r="R440" s="262"/>
      <c r="S440" s="262"/>
    </row>
    <row r="441" spans="1:19" x14ac:dyDescent="0.25">
      <c r="A441" s="384">
        <v>79</v>
      </c>
      <c r="B441" s="388" t="s">
        <v>34</v>
      </c>
      <c r="C441" s="390">
        <v>1169</v>
      </c>
      <c r="D441" s="390">
        <v>2869</v>
      </c>
      <c r="E441" s="395"/>
      <c r="R441" s="262"/>
      <c r="S441" s="262"/>
    </row>
    <row r="442" spans="1:19" x14ac:dyDescent="0.25">
      <c r="A442" s="384">
        <v>231</v>
      </c>
      <c r="B442" s="388" t="s">
        <v>261</v>
      </c>
      <c r="C442" s="390">
        <v>3000</v>
      </c>
      <c r="D442" s="390">
        <v>6302</v>
      </c>
      <c r="E442" s="395"/>
      <c r="R442" s="262"/>
      <c r="S442" s="262"/>
    </row>
    <row r="443" spans="1:19" x14ac:dyDescent="0.25">
      <c r="A443" s="384">
        <v>115</v>
      </c>
      <c r="B443" s="388" t="s">
        <v>23</v>
      </c>
      <c r="C443" s="390">
        <v>2267</v>
      </c>
      <c r="D443" s="390">
        <v>6555</v>
      </c>
      <c r="E443" s="395"/>
      <c r="R443" s="262"/>
      <c r="S443" s="262"/>
    </row>
    <row r="444" spans="1:19" x14ac:dyDescent="0.25">
      <c r="A444" s="384">
        <v>81</v>
      </c>
      <c r="B444" s="388" t="s">
        <v>35</v>
      </c>
      <c r="C444" s="390">
        <v>430</v>
      </c>
      <c r="D444" s="390">
        <v>1051</v>
      </c>
      <c r="E444" s="395"/>
      <c r="R444" s="262"/>
      <c r="S444" s="262"/>
    </row>
    <row r="445" spans="1:19" x14ac:dyDescent="0.25">
      <c r="A445" s="384">
        <v>83</v>
      </c>
      <c r="B445" s="388" t="s">
        <v>26</v>
      </c>
      <c r="C445" s="390">
        <v>2876</v>
      </c>
      <c r="D445" s="390">
        <v>5790</v>
      </c>
      <c r="E445" s="395"/>
      <c r="R445" s="262"/>
      <c r="S445" s="262"/>
    </row>
    <row r="446" spans="1:19" x14ac:dyDescent="0.25">
      <c r="A446" s="384">
        <v>85</v>
      </c>
      <c r="B446" s="388" t="s">
        <v>36</v>
      </c>
      <c r="C446" s="390">
        <v>615</v>
      </c>
      <c r="D446" s="390">
        <v>1520</v>
      </c>
      <c r="E446" s="395"/>
      <c r="R446" s="262"/>
      <c r="S446" s="262"/>
    </row>
    <row r="447" spans="1:19" x14ac:dyDescent="0.25">
      <c r="A447" s="384">
        <v>87</v>
      </c>
      <c r="B447" s="388" t="s">
        <v>28</v>
      </c>
      <c r="C447" s="390">
        <v>1143</v>
      </c>
      <c r="D447" s="390">
        <v>2604</v>
      </c>
      <c r="E447" s="395"/>
      <c r="R447" s="262"/>
      <c r="S447" s="262"/>
    </row>
    <row r="448" spans="1:19" x14ac:dyDescent="0.25">
      <c r="A448" s="384">
        <v>29</v>
      </c>
      <c r="B448" s="388" t="s">
        <v>185</v>
      </c>
      <c r="C448" s="390">
        <v>3497</v>
      </c>
      <c r="D448" s="390">
        <v>0</v>
      </c>
      <c r="E448" s="395"/>
      <c r="R448" s="262"/>
      <c r="S448" s="262"/>
    </row>
    <row r="449" spans="1:19" x14ac:dyDescent="0.25">
      <c r="A449" s="384">
        <v>33</v>
      </c>
      <c r="B449" s="388" t="s">
        <v>49</v>
      </c>
      <c r="C449" s="390">
        <v>5951</v>
      </c>
      <c r="D449" s="390">
        <v>0</v>
      </c>
      <c r="E449" s="395"/>
      <c r="R449" s="262"/>
      <c r="S449" s="262"/>
    </row>
    <row r="450" spans="1:19" x14ac:dyDescent="0.25">
      <c r="A450" s="384">
        <v>35</v>
      </c>
      <c r="B450" s="388" t="s">
        <v>50</v>
      </c>
      <c r="C450" s="390">
        <v>14000</v>
      </c>
      <c r="D450" s="390">
        <v>1416</v>
      </c>
      <c r="E450" s="395"/>
      <c r="R450" s="262"/>
      <c r="S450" s="262"/>
    </row>
    <row r="451" spans="1:19" x14ac:dyDescent="0.25">
      <c r="A451" s="384">
        <v>140</v>
      </c>
      <c r="B451" s="388" t="s">
        <v>488</v>
      </c>
      <c r="C451" s="390">
        <v>6892</v>
      </c>
      <c r="D451" s="390">
        <v>18250</v>
      </c>
      <c r="E451" s="395"/>
      <c r="R451" s="262"/>
      <c r="S451" s="262"/>
    </row>
    <row r="452" spans="1:19" x14ac:dyDescent="0.25">
      <c r="A452" s="384">
        <v>49</v>
      </c>
      <c r="B452" s="388" t="s">
        <v>18</v>
      </c>
      <c r="C452" s="390">
        <v>3152</v>
      </c>
      <c r="D452" s="390">
        <v>0</v>
      </c>
      <c r="E452" s="395"/>
      <c r="R452" s="262"/>
      <c r="S452" s="262"/>
    </row>
    <row r="453" spans="1:19" x14ac:dyDescent="0.25">
      <c r="A453" s="384">
        <v>133</v>
      </c>
      <c r="B453" s="294" t="s">
        <v>222</v>
      </c>
      <c r="C453" s="390">
        <v>0</v>
      </c>
      <c r="D453" s="390">
        <v>19403</v>
      </c>
      <c r="E453" s="395"/>
      <c r="R453" s="262"/>
      <c r="S453" s="262"/>
    </row>
    <row r="454" spans="1:19" x14ac:dyDescent="0.25">
      <c r="A454" s="384">
        <v>135</v>
      </c>
      <c r="B454" s="388" t="s">
        <v>238</v>
      </c>
      <c r="C454" s="390">
        <v>0</v>
      </c>
      <c r="D454" s="390">
        <v>51657</v>
      </c>
      <c r="E454" s="395"/>
      <c r="R454" s="262"/>
      <c r="S454" s="262"/>
    </row>
    <row r="455" spans="1:19" x14ac:dyDescent="0.25">
      <c r="A455" s="384">
        <v>1</v>
      </c>
      <c r="B455" s="388" t="s">
        <v>52</v>
      </c>
      <c r="C455" s="390">
        <v>0</v>
      </c>
      <c r="D455" s="390">
        <v>0</v>
      </c>
      <c r="E455" s="395"/>
      <c r="R455" s="262"/>
      <c r="S455" s="262"/>
    </row>
    <row r="456" spans="1:19" x14ac:dyDescent="0.25">
      <c r="A456" s="384">
        <v>4</v>
      </c>
      <c r="B456" s="388" t="s">
        <v>53</v>
      </c>
      <c r="C456" s="390">
        <v>6684</v>
      </c>
      <c r="D456" s="390">
        <v>0</v>
      </c>
      <c r="E456" s="395"/>
      <c r="R456" s="262"/>
      <c r="S456" s="262"/>
    </row>
    <row r="457" spans="1:19" x14ac:dyDescent="0.25">
      <c r="A457" s="384">
        <v>10</v>
      </c>
      <c r="B457" s="388" t="s">
        <v>239</v>
      </c>
      <c r="C457" s="390">
        <v>11158</v>
      </c>
      <c r="D457" s="390">
        <v>0</v>
      </c>
      <c r="E457" s="395"/>
      <c r="R457" s="262"/>
      <c r="S457" s="262"/>
    </row>
    <row r="458" spans="1:19" x14ac:dyDescent="0.25">
      <c r="A458" s="384">
        <v>13</v>
      </c>
      <c r="B458" s="388" t="s">
        <v>63</v>
      </c>
      <c r="C458" s="390">
        <v>2085</v>
      </c>
      <c r="D458" s="390">
        <v>1313</v>
      </c>
      <c r="E458" s="395"/>
      <c r="R458" s="262"/>
      <c r="S458" s="262"/>
    </row>
    <row r="459" spans="1:19" x14ac:dyDescent="0.25">
      <c r="A459" s="384">
        <v>354</v>
      </c>
      <c r="B459" s="388" t="s">
        <v>59</v>
      </c>
      <c r="C459" s="390">
        <v>8571</v>
      </c>
      <c r="D459" s="390">
        <v>15456</v>
      </c>
      <c r="E459" s="395"/>
      <c r="R459" s="262"/>
      <c r="S459" s="262"/>
    </row>
    <row r="460" spans="1:19" x14ac:dyDescent="0.25">
      <c r="A460" s="384">
        <v>173</v>
      </c>
      <c r="B460" s="388" t="s">
        <v>42</v>
      </c>
      <c r="C460" s="390">
        <v>205</v>
      </c>
      <c r="D460" s="390">
        <v>0</v>
      </c>
      <c r="E460" s="395"/>
      <c r="R460" s="262"/>
      <c r="S460" s="262"/>
    </row>
    <row r="461" spans="1:19" x14ac:dyDescent="0.25">
      <c r="A461" s="384">
        <v>151</v>
      </c>
      <c r="B461" s="388" t="s">
        <v>66</v>
      </c>
      <c r="C461" s="390">
        <v>114</v>
      </c>
      <c r="D461" s="390">
        <v>0</v>
      </c>
      <c r="E461" s="395"/>
      <c r="R461" s="262"/>
      <c r="S461" s="262"/>
    </row>
    <row r="462" spans="1:19" x14ac:dyDescent="0.25">
      <c r="A462" s="384">
        <v>294</v>
      </c>
      <c r="B462" s="388" t="s">
        <v>58</v>
      </c>
      <c r="C462" s="390">
        <v>91</v>
      </c>
      <c r="D462" s="390">
        <v>0</v>
      </c>
      <c r="E462" s="395"/>
      <c r="R462" s="262"/>
      <c r="S462" s="262"/>
    </row>
    <row r="463" spans="1:19" x14ac:dyDescent="0.25">
      <c r="A463" s="384">
        <v>205</v>
      </c>
      <c r="B463" s="388" t="s">
        <v>243</v>
      </c>
      <c r="C463" s="390">
        <v>2698</v>
      </c>
      <c r="D463" s="390">
        <v>200</v>
      </c>
      <c r="E463" s="395"/>
      <c r="R463" s="262"/>
      <c r="S463" s="262"/>
    </row>
    <row r="464" spans="1:19" x14ac:dyDescent="0.25">
      <c r="A464" s="384"/>
      <c r="B464" s="392" t="s">
        <v>92</v>
      </c>
      <c r="C464" s="396">
        <f>SUM(C428:C463)</f>
        <v>94352</v>
      </c>
      <c r="D464" s="396">
        <f>SUM(D428:D463)</f>
        <v>174843</v>
      </c>
      <c r="E464" s="397"/>
      <c r="R464" s="262"/>
      <c r="S464" s="262"/>
    </row>
    <row r="465" spans="18:19" x14ac:dyDescent="0.25">
      <c r="R465" s="262"/>
      <c r="S465" s="262"/>
    </row>
    <row r="466" spans="18:19" x14ac:dyDescent="0.25">
      <c r="R466" s="262"/>
      <c r="S466" s="262"/>
    </row>
    <row r="467" spans="18:19" x14ac:dyDescent="0.25">
      <c r="R467" s="262"/>
      <c r="S467" s="262"/>
    </row>
    <row r="468" spans="18:19" x14ac:dyDescent="0.25">
      <c r="R468" s="262"/>
      <c r="S468" s="262"/>
    </row>
    <row r="469" spans="18:19" x14ac:dyDescent="0.25">
      <c r="R469" s="262"/>
      <c r="S469" s="262"/>
    </row>
    <row r="470" spans="18:19" x14ac:dyDescent="0.25">
      <c r="R470" s="262"/>
      <c r="S470" s="262"/>
    </row>
    <row r="471" spans="18:19" x14ac:dyDescent="0.25">
      <c r="R471" s="262"/>
      <c r="S471" s="262"/>
    </row>
    <row r="472" spans="18:19" x14ac:dyDescent="0.25">
      <c r="R472" s="262"/>
      <c r="S472" s="262"/>
    </row>
    <row r="473" spans="18:19" x14ac:dyDescent="0.25">
      <c r="R473" s="262"/>
      <c r="S473" s="262"/>
    </row>
    <row r="474" spans="18:19" x14ac:dyDescent="0.25">
      <c r="R474" s="262"/>
      <c r="S474" s="262"/>
    </row>
    <row r="475" spans="18:19" x14ac:dyDescent="0.25">
      <c r="R475" s="262"/>
      <c r="S475" s="262"/>
    </row>
    <row r="476" spans="18:19" x14ac:dyDescent="0.25">
      <c r="R476" s="262"/>
      <c r="S476" s="262"/>
    </row>
    <row r="477" spans="18:19" x14ac:dyDescent="0.25">
      <c r="R477" s="262"/>
      <c r="S477" s="262"/>
    </row>
    <row r="478" spans="18:19" x14ac:dyDescent="0.25">
      <c r="R478" s="262"/>
      <c r="S478" s="262"/>
    </row>
    <row r="479" spans="18:19" x14ac:dyDescent="0.25">
      <c r="R479" s="262"/>
      <c r="S479" s="262"/>
    </row>
    <row r="480" spans="18:19" x14ac:dyDescent="0.25">
      <c r="R480" s="262"/>
      <c r="S480" s="262"/>
    </row>
    <row r="481" spans="18:19" x14ac:dyDescent="0.25">
      <c r="R481" s="262"/>
      <c r="S481" s="262"/>
    </row>
  </sheetData>
  <mergeCells count="78">
    <mergeCell ref="B425:D425"/>
    <mergeCell ref="A426:A427"/>
    <mergeCell ref="B426:B427"/>
    <mergeCell ref="C426:C427"/>
    <mergeCell ref="D426:D427"/>
    <mergeCell ref="B332:E332"/>
    <mergeCell ref="B339:F339"/>
    <mergeCell ref="A340:A341"/>
    <mergeCell ref="B340:B341"/>
    <mergeCell ref="C340:C341"/>
    <mergeCell ref="D340:F340"/>
    <mergeCell ref="B317:E317"/>
    <mergeCell ref="B318:D318"/>
    <mergeCell ref="C319:C321"/>
    <mergeCell ref="B324:E324"/>
    <mergeCell ref="B294:E294"/>
    <mergeCell ref="B208:B209"/>
    <mergeCell ref="C209:F209"/>
    <mergeCell ref="B289:E289"/>
    <mergeCell ref="A315:A316"/>
    <mergeCell ref="B315:B316"/>
    <mergeCell ref="A306:A310"/>
    <mergeCell ref="B306:B310"/>
    <mergeCell ref="D308:D310"/>
    <mergeCell ref="A311:A314"/>
    <mergeCell ref="B311:B314"/>
    <mergeCell ref="A299:A300"/>
    <mergeCell ref="B299:B300"/>
    <mergeCell ref="A301:A303"/>
    <mergeCell ref="G382:G383"/>
    <mergeCell ref="A281:A284"/>
    <mergeCell ref="B301:B303"/>
    <mergeCell ref="A304:A305"/>
    <mergeCell ref="B304:B305"/>
    <mergeCell ref="A295:A297"/>
    <mergeCell ref="B295:B297"/>
    <mergeCell ref="A287:A288"/>
    <mergeCell ref="B287:B288"/>
    <mergeCell ref="C290:C292"/>
    <mergeCell ref="B381:F381"/>
    <mergeCell ref="A382:A383"/>
    <mergeCell ref="B382:B383"/>
    <mergeCell ref="C382:C383"/>
    <mergeCell ref="E382:E383"/>
    <mergeCell ref="F382:F383"/>
    <mergeCell ref="A278:A280"/>
    <mergeCell ref="B278:B280"/>
    <mergeCell ref="B281:B284"/>
    <mergeCell ref="B188:E188"/>
    <mergeCell ref="B174:E174"/>
    <mergeCell ref="A179:E179"/>
    <mergeCell ref="B184:E184"/>
    <mergeCell ref="B230:E230"/>
    <mergeCell ref="B234:E234"/>
    <mergeCell ref="C236:C260"/>
    <mergeCell ref="B264:E264"/>
    <mergeCell ref="A266:A277"/>
    <mergeCell ref="B266:B277"/>
    <mergeCell ref="B197:E197"/>
    <mergeCell ref="B207:E207"/>
    <mergeCell ref="A208:A209"/>
    <mergeCell ref="A139:A140"/>
    <mergeCell ref="B139:B140"/>
    <mergeCell ref="C139:C140"/>
    <mergeCell ref="D139:D140"/>
    <mergeCell ref="E139:E140"/>
    <mergeCell ref="B138:F138"/>
    <mergeCell ref="B86:F86"/>
    <mergeCell ref="A87:A88"/>
    <mergeCell ref="B87:B88"/>
    <mergeCell ref="C87:C88"/>
    <mergeCell ref="D87:G87"/>
    <mergeCell ref="A7:E7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zoomScale="90" zoomScaleNormal="90" workbookViewId="0">
      <pane xSplit="3" ySplit="9" topLeftCell="D58" activePane="bottomRight" state="frozen"/>
      <selection activeCell="I7" sqref="I7:AK481"/>
      <selection pane="topRight" activeCell="I7" sqref="I7:AK481"/>
      <selection pane="bottomLeft" activeCell="I7" sqref="I7:AK481"/>
      <selection pane="bottomRight" activeCell="C48" sqref="C48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6" customWidth="1"/>
    <col min="5" max="5" width="13.140625" style="16" customWidth="1"/>
    <col min="6" max="6" width="15" style="16" customWidth="1"/>
    <col min="7" max="7" width="14.5703125" style="16" customWidth="1"/>
    <col min="8" max="8" width="13.28515625" style="16" customWidth="1"/>
    <col min="9" max="9" width="13.42578125" style="16" customWidth="1"/>
    <col min="10" max="10" width="14.85546875" style="16" customWidth="1"/>
    <col min="11" max="11" width="13.85546875" style="16" customWidth="1"/>
    <col min="12" max="12" width="15.140625" style="16" customWidth="1"/>
    <col min="13" max="13" width="12.5703125" style="16" customWidth="1"/>
    <col min="14" max="14" width="13.5703125" style="16" customWidth="1"/>
    <col min="15" max="15" width="11.85546875" style="16" customWidth="1"/>
    <col min="16" max="16" width="11.140625" style="16" customWidth="1"/>
    <col min="17" max="17" width="12.140625" style="16" customWidth="1"/>
    <col min="18" max="18" width="11.7109375" style="16" customWidth="1"/>
    <col min="19" max="19" width="11.5703125" style="16" customWidth="1"/>
    <col min="20" max="20" width="11.85546875" customWidth="1"/>
    <col min="21" max="21" width="11.140625" customWidth="1"/>
  </cols>
  <sheetData>
    <row r="1" spans="1:21" ht="15" customHeight="1" x14ac:dyDescent="0.25">
      <c r="R1" s="17"/>
      <c r="S1" s="2"/>
      <c r="U1" s="2" t="s">
        <v>361</v>
      </c>
    </row>
    <row r="2" spans="1:21" ht="17.25" customHeight="1" x14ac:dyDescent="0.25">
      <c r="R2" s="17"/>
      <c r="S2" s="3"/>
      <c r="U2" s="3" t="s">
        <v>492</v>
      </c>
    </row>
    <row r="3" spans="1:21" ht="21.75" customHeight="1" x14ac:dyDescent="0.25">
      <c r="R3" s="17"/>
      <c r="S3" s="3"/>
      <c r="U3" s="3" t="s">
        <v>0</v>
      </c>
    </row>
    <row r="4" spans="1:21" ht="15.75" customHeight="1" x14ac:dyDescent="0.25">
      <c r="R4" s="17"/>
      <c r="S4" s="3"/>
      <c r="U4" s="3" t="s">
        <v>1</v>
      </c>
    </row>
    <row r="5" spans="1:21" ht="18" customHeight="1" x14ac:dyDescent="0.25">
      <c r="S5" s="4"/>
      <c r="U5" s="44" t="s">
        <v>493</v>
      </c>
    </row>
    <row r="6" spans="1:21" ht="101.25" customHeight="1" x14ac:dyDescent="0.25">
      <c r="A6" s="523" t="s">
        <v>476</v>
      </c>
      <c r="B6" s="523"/>
      <c r="C6" s="523"/>
      <c r="D6" s="523"/>
      <c r="E6" s="523"/>
      <c r="F6" s="523"/>
      <c r="G6" s="523"/>
      <c r="H6" s="523"/>
      <c r="I6" s="523"/>
      <c r="J6" s="523"/>
      <c r="K6" s="523"/>
      <c r="L6" s="523"/>
      <c r="M6" s="523"/>
      <c r="N6" s="523"/>
      <c r="O6" s="523"/>
      <c r="P6" s="523"/>
      <c r="Q6" s="523"/>
      <c r="R6" s="523"/>
      <c r="S6" s="523"/>
      <c r="T6" s="523"/>
      <c r="U6" s="523"/>
    </row>
    <row r="8" spans="1:21" ht="90.75" customHeight="1" x14ac:dyDescent="0.25">
      <c r="A8" s="524" t="s">
        <v>2</v>
      </c>
      <c r="B8" s="526" t="s">
        <v>71</v>
      </c>
      <c r="C8" s="524" t="s">
        <v>3</v>
      </c>
      <c r="D8" s="533" t="s">
        <v>72</v>
      </c>
      <c r="E8" s="534"/>
      <c r="F8" s="535"/>
      <c r="G8" s="528" t="s">
        <v>73</v>
      </c>
      <c r="H8" s="529"/>
      <c r="I8" s="530"/>
      <c r="J8" s="531" t="s">
        <v>74</v>
      </c>
      <c r="K8" s="538"/>
      <c r="L8" s="539" t="s">
        <v>75</v>
      </c>
      <c r="M8" s="540"/>
      <c r="N8" s="531" t="s">
        <v>76</v>
      </c>
      <c r="O8" s="532"/>
      <c r="P8" s="531" t="s">
        <v>77</v>
      </c>
      <c r="Q8" s="532"/>
      <c r="R8" s="531" t="s">
        <v>449</v>
      </c>
      <c r="S8" s="532"/>
      <c r="T8" s="531" t="s">
        <v>450</v>
      </c>
      <c r="U8" s="532"/>
    </row>
    <row r="9" spans="1:21" ht="69" customHeight="1" x14ac:dyDescent="0.25">
      <c r="A9" s="525"/>
      <c r="B9" s="527"/>
      <c r="C9" s="525"/>
      <c r="D9" s="76" t="s">
        <v>93</v>
      </c>
      <c r="E9" s="76" t="s">
        <v>79</v>
      </c>
      <c r="F9" s="76" t="s">
        <v>80</v>
      </c>
      <c r="G9" s="76" t="s">
        <v>232</v>
      </c>
      <c r="H9" s="76" t="s">
        <v>79</v>
      </c>
      <c r="I9" s="76" t="s">
        <v>80</v>
      </c>
      <c r="J9" s="76" t="s">
        <v>232</v>
      </c>
      <c r="K9" s="76" t="s">
        <v>79</v>
      </c>
      <c r="L9" s="76" t="s">
        <v>232</v>
      </c>
      <c r="M9" s="76" t="s">
        <v>79</v>
      </c>
      <c r="N9" s="76" t="s">
        <v>78</v>
      </c>
      <c r="O9" s="76" t="s">
        <v>79</v>
      </c>
      <c r="P9" s="76" t="s">
        <v>78</v>
      </c>
      <c r="Q9" s="76" t="s">
        <v>79</v>
      </c>
      <c r="R9" s="76" t="s">
        <v>78</v>
      </c>
      <c r="S9" s="76" t="s">
        <v>79</v>
      </c>
      <c r="T9" s="76" t="s">
        <v>78</v>
      </c>
      <c r="U9" s="76" t="s">
        <v>79</v>
      </c>
    </row>
    <row r="10" spans="1:21" ht="18" customHeight="1" x14ac:dyDescent="0.25">
      <c r="A10" s="6">
        <v>59</v>
      </c>
      <c r="B10" s="7">
        <v>1</v>
      </c>
      <c r="C10" s="8" t="s">
        <v>29</v>
      </c>
      <c r="D10" s="9">
        <v>1643</v>
      </c>
      <c r="E10" s="10">
        <v>4640.8999999999996</v>
      </c>
      <c r="F10" s="9">
        <v>1229</v>
      </c>
      <c r="G10" s="9">
        <v>0</v>
      </c>
      <c r="H10" s="10">
        <v>0</v>
      </c>
      <c r="I10" s="9">
        <v>403</v>
      </c>
      <c r="J10" s="9">
        <v>9748</v>
      </c>
      <c r="K10" s="10">
        <v>8461.5</v>
      </c>
      <c r="L10" s="9">
        <v>2313</v>
      </c>
      <c r="M10" s="10">
        <v>3346.7</v>
      </c>
      <c r="N10" s="9">
        <v>0</v>
      </c>
      <c r="O10" s="10">
        <v>0</v>
      </c>
      <c r="P10" s="9">
        <v>0</v>
      </c>
      <c r="Q10" s="10">
        <v>0</v>
      </c>
      <c r="R10" s="9">
        <v>0</v>
      </c>
      <c r="S10" s="10">
        <v>0</v>
      </c>
      <c r="T10" s="9">
        <v>0</v>
      </c>
      <c r="U10" s="10">
        <v>0</v>
      </c>
    </row>
    <row r="11" spans="1:21" ht="15.75" x14ac:dyDescent="0.25">
      <c r="A11" s="11">
        <v>63</v>
      </c>
      <c r="B11" s="7">
        <v>2</v>
      </c>
      <c r="C11" s="8" t="s">
        <v>30</v>
      </c>
      <c r="D11" s="9">
        <v>0</v>
      </c>
      <c r="E11" s="10">
        <v>0</v>
      </c>
      <c r="F11" s="9">
        <v>333</v>
      </c>
      <c r="G11" s="9">
        <v>0</v>
      </c>
      <c r="H11" s="10">
        <v>0</v>
      </c>
      <c r="I11" s="9">
        <v>152</v>
      </c>
      <c r="J11" s="9">
        <v>447</v>
      </c>
      <c r="K11" s="10">
        <v>382.7</v>
      </c>
      <c r="L11" s="9">
        <v>334</v>
      </c>
      <c r="M11" s="10">
        <v>754.5</v>
      </c>
      <c r="N11" s="9">
        <v>0</v>
      </c>
      <c r="O11" s="10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10">
        <v>0</v>
      </c>
    </row>
    <row r="12" spans="1:21" ht="15.75" x14ac:dyDescent="0.25">
      <c r="A12" s="11">
        <v>65</v>
      </c>
      <c r="B12" s="7">
        <v>3</v>
      </c>
      <c r="C12" s="12" t="s">
        <v>31</v>
      </c>
      <c r="D12" s="9">
        <v>0</v>
      </c>
      <c r="E12" s="10">
        <v>0</v>
      </c>
      <c r="F12" s="9">
        <v>335</v>
      </c>
      <c r="G12" s="9">
        <v>0</v>
      </c>
      <c r="H12" s="10">
        <v>0</v>
      </c>
      <c r="I12" s="9">
        <v>159</v>
      </c>
      <c r="J12" s="9">
        <v>658</v>
      </c>
      <c r="K12" s="10">
        <v>839.4</v>
      </c>
      <c r="L12" s="9">
        <v>240</v>
      </c>
      <c r="M12" s="10">
        <v>475.8</v>
      </c>
      <c r="N12" s="9">
        <v>0</v>
      </c>
      <c r="O12" s="10">
        <v>0</v>
      </c>
      <c r="P12" s="9">
        <v>0</v>
      </c>
      <c r="Q12" s="10">
        <v>0</v>
      </c>
      <c r="R12" s="9">
        <v>0</v>
      </c>
      <c r="S12" s="10">
        <v>0</v>
      </c>
      <c r="T12" s="9">
        <v>0</v>
      </c>
      <c r="U12" s="10">
        <v>0</v>
      </c>
    </row>
    <row r="13" spans="1:21" ht="15.75" x14ac:dyDescent="0.25">
      <c r="A13" s="11">
        <v>67</v>
      </c>
      <c r="B13" s="7">
        <v>4</v>
      </c>
      <c r="C13" s="8" t="s">
        <v>61</v>
      </c>
      <c r="D13" s="9">
        <v>0</v>
      </c>
      <c r="E13" s="10">
        <v>0</v>
      </c>
      <c r="F13" s="9">
        <v>212</v>
      </c>
      <c r="G13" s="9">
        <v>0</v>
      </c>
      <c r="H13" s="10">
        <v>0</v>
      </c>
      <c r="I13" s="9">
        <v>145</v>
      </c>
      <c r="J13" s="9">
        <v>2284</v>
      </c>
      <c r="K13" s="10">
        <v>1995.4</v>
      </c>
      <c r="L13" s="9">
        <v>618</v>
      </c>
      <c r="M13" s="10">
        <v>830.9</v>
      </c>
      <c r="N13" s="9">
        <v>0</v>
      </c>
      <c r="O13" s="10">
        <v>0</v>
      </c>
      <c r="P13" s="9">
        <v>0</v>
      </c>
      <c r="Q13" s="10">
        <v>0</v>
      </c>
      <c r="R13" s="9">
        <v>0</v>
      </c>
      <c r="S13" s="10">
        <v>0</v>
      </c>
      <c r="T13" s="9">
        <v>0</v>
      </c>
      <c r="U13" s="10">
        <v>0</v>
      </c>
    </row>
    <row r="14" spans="1:21" ht="15.75" x14ac:dyDescent="0.25">
      <c r="A14" s="11">
        <v>69</v>
      </c>
      <c r="B14" s="7">
        <v>5</v>
      </c>
      <c r="C14" s="8" t="s">
        <v>32</v>
      </c>
      <c r="D14" s="9">
        <v>0</v>
      </c>
      <c r="E14" s="10">
        <v>0</v>
      </c>
      <c r="F14" s="9">
        <v>384</v>
      </c>
      <c r="G14" s="9">
        <v>0</v>
      </c>
      <c r="H14" s="10">
        <v>0</v>
      </c>
      <c r="I14" s="9">
        <v>220</v>
      </c>
      <c r="J14" s="9">
        <v>218</v>
      </c>
      <c r="K14" s="10">
        <v>273.8</v>
      </c>
      <c r="L14" s="9">
        <v>715</v>
      </c>
      <c r="M14" s="10">
        <v>1543.6</v>
      </c>
      <c r="N14" s="9">
        <v>0</v>
      </c>
      <c r="O14" s="10">
        <v>0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10">
        <v>0</v>
      </c>
    </row>
    <row r="15" spans="1:21" ht="15.75" x14ac:dyDescent="0.25">
      <c r="A15" s="11">
        <v>75</v>
      </c>
      <c r="B15" s="7">
        <v>6</v>
      </c>
      <c r="C15" s="8" t="s">
        <v>62</v>
      </c>
      <c r="D15" s="9">
        <v>0</v>
      </c>
      <c r="E15" s="10">
        <v>0</v>
      </c>
      <c r="F15" s="9">
        <v>169</v>
      </c>
      <c r="G15" s="9">
        <v>0</v>
      </c>
      <c r="H15" s="10">
        <v>0</v>
      </c>
      <c r="I15" s="9">
        <v>142</v>
      </c>
      <c r="J15" s="9">
        <v>1315</v>
      </c>
      <c r="K15" s="10">
        <v>1270.5999999999999</v>
      </c>
      <c r="L15" s="9">
        <v>560</v>
      </c>
      <c r="M15" s="10">
        <v>1017.2</v>
      </c>
      <c r="N15" s="9">
        <v>0</v>
      </c>
      <c r="O15" s="10">
        <v>0</v>
      </c>
      <c r="P15" s="9">
        <v>0</v>
      </c>
      <c r="Q15" s="10">
        <v>0</v>
      </c>
      <c r="R15" s="9">
        <v>0</v>
      </c>
      <c r="S15" s="10">
        <v>0</v>
      </c>
      <c r="T15" s="9">
        <v>0</v>
      </c>
      <c r="U15" s="10">
        <v>0</v>
      </c>
    </row>
    <row r="16" spans="1:21" ht="15" customHeight="1" x14ac:dyDescent="0.25">
      <c r="A16" s="11">
        <v>71</v>
      </c>
      <c r="B16" s="7">
        <v>7</v>
      </c>
      <c r="C16" s="8" t="s">
        <v>14</v>
      </c>
      <c r="D16" s="9">
        <v>0</v>
      </c>
      <c r="E16" s="10">
        <v>0</v>
      </c>
      <c r="F16" s="9">
        <v>412</v>
      </c>
      <c r="G16" s="9">
        <v>0</v>
      </c>
      <c r="H16" s="10">
        <v>0</v>
      </c>
      <c r="I16" s="9">
        <v>210</v>
      </c>
      <c r="J16" s="9">
        <v>1398</v>
      </c>
      <c r="K16" s="10">
        <v>1141.9000000000001</v>
      </c>
      <c r="L16" s="9">
        <v>736</v>
      </c>
      <c r="M16" s="10">
        <v>1092.7</v>
      </c>
      <c r="N16" s="9">
        <v>0</v>
      </c>
      <c r="O16" s="10">
        <v>0</v>
      </c>
      <c r="P16" s="9">
        <v>0</v>
      </c>
      <c r="Q16" s="10">
        <v>0</v>
      </c>
      <c r="R16" s="9">
        <v>0</v>
      </c>
      <c r="S16" s="10">
        <v>0</v>
      </c>
      <c r="T16" s="9">
        <v>0</v>
      </c>
      <c r="U16" s="10">
        <v>0</v>
      </c>
    </row>
    <row r="17" spans="1:21" ht="15.75" x14ac:dyDescent="0.25">
      <c r="A17" s="11">
        <v>103</v>
      </c>
      <c r="B17" s="7">
        <v>8</v>
      </c>
      <c r="C17" s="12" t="s">
        <v>15</v>
      </c>
      <c r="D17" s="9">
        <v>2115</v>
      </c>
      <c r="E17" s="10">
        <v>4419.8999999999996</v>
      </c>
      <c r="F17" s="9">
        <v>1227</v>
      </c>
      <c r="G17" s="9">
        <v>0</v>
      </c>
      <c r="H17" s="10">
        <v>0</v>
      </c>
      <c r="I17" s="9">
        <v>444</v>
      </c>
      <c r="J17" s="9">
        <v>2937</v>
      </c>
      <c r="K17" s="10">
        <v>3469</v>
      </c>
      <c r="L17" s="9">
        <v>2518</v>
      </c>
      <c r="M17" s="10">
        <v>5075.5</v>
      </c>
      <c r="N17" s="9">
        <v>0</v>
      </c>
      <c r="O17" s="10">
        <v>0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10">
        <v>0</v>
      </c>
    </row>
    <row r="18" spans="1:21" ht="15.75" x14ac:dyDescent="0.25">
      <c r="A18" s="11">
        <v>73</v>
      </c>
      <c r="B18" s="7">
        <v>9</v>
      </c>
      <c r="C18" s="8" t="s">
        <v>17</v>
      </c>
      <c r="D18" s="9">
        <v>5</v>
      </c>
      <c r="E18" s="10">
        <v>4.3</v>
      </c>
      <c r="F18" s="9">
        <v>330</v>
      </c>
      <c r="G18" s="9">
        <v>0</v>
      </c>
      <c r="H18" s="10">
        <v>0</v>
      </c>
      <c r="I18" s="9">
        <v>139</v>
      </c>
      <c r="J18" s="9">
        <v>2614</v>
      </c>
      <c r="K18" s="10">
        <v>2639.7</v>
      </c>
      <c r="L18" s="9">
        <v>354</v>
      </c>
      <c r="M18" s="10">
        <v>618.20000000000005</v>
      </c>
      <c r="N18" s="9">
        <v>0</v>
      </c>
      <c r="O18" s="10">
        <v>0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10">
        <v>0</v>
      </c>
    </row>
    <row r="19" spans="1:21" ht="15.75" x14ac:dyDescent="0.25">
      <c r="A19" s="11">
        <v>231</v>
      </c>
      <c r="B19" s="7">
        <v>10</v>
      </c>
      <c r="C19" s="8" t="s">
        <v>54</v>
      </c>
      <c r="D19" s="9">
        <v>0</v>
      </c>
      <c r="E19" s="10">
        <v>0</v>
      </c>
      <c r="F19" s="9">
        <v>892</v>
      </c>
      <c r="G19" s="9">
        <v>0</v>
      </c>
      <c r="H19" s="10">
        <v>0</v>
      </c>
      <c r="I19" s="9">
        <v>394</v>
      </c>
      <c r="J19" s="9">
        <v>2134</v>
      </c>
      <c r="K19" s="10">
        <v>1846.2</v>
      </c>
      <c r="L19" s="9">
        <v>928</v>
      </c>
      <c r="M19" s="10">
        <v>1259.5999999999999</v>
      </c>
      <c r="N19" s="9">
        <v>0</v>
      </c>
      <c r="O19" s="10">
        <v>0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10">
        <v>0</v>
      </c>
    </row>
    <row r="20" spans="1:21" ht="15.75" x14ac:dyDescent="0.25">
      <c r="A20" s="11">
        <v>115</v>
      </c>
      <c r="B20" s="7">
        <v>11</v>
      </c>
      <c r="C20" s="8" t="s">
        <v>23</v>
      </c>
      <c r="D20" s="9">
        <v>1925</v>
      </c>
      <c r="E20" s="10">
        <v>7152.2</v>
      </c>
      <c r="F20" s="9">
        <v>1188</v>
      </c>
      <c r="G20" s="9">
        <v>0</v>
      </c>
      <c r="H20" s="10">
        <v>0</v>
      </c>
      <c r="I20" s="9">
        <v>426</v>
      </c>
      <c r="J20" s="9">
        <v>1385</v>
      </c>
      <c r="K20" s="10">
        <v>1418.1</v>
      </c>
      <c r="L20" s="9">
        <v>2900</v>
      </c>
      <c r="M20" s="10">
        <v>5867.3</v>
      </c>
      <c r="N20" s="9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</row>
    <row r="21" spans="1:21" ht="15.75" x14ac:dyDescent="0.25">
      <c r="A21" s="11">
        <v>87</v>
      </c>
      <c r="B21" s="7">
        <v>12</v>
      </c>
      <c r="C21" s="8" t="s">
        <v>28</v>
      </c>
      <c r="D21" s="9">
        <v>0</v>
      </c>
      <c r="E21" s="10">
        <v>0</v>
      </c>
      <c r="F21" s="9">
        <v>453</v>
      </c>
      <c r="G21" s="9">
        <v>0</v>
      </c>
      <c r="H21" s="10">
        <v>0</v>
      </c>
      <c r="I21" s="9">
        <v>216</v>
      </c>
      <c r="J21" s="9">
        <v>1456</v>
      </c>
      <c r="K21" s="10">
        <v>1483.4</v>
      </c>
      <c r="L21" s="9">
        <v>1640</v>
      </c>
      <c r="M21" s="10">
        <v>2219.6</v>
      </c>
      <c r="N21" s="9">
        <v>0</v>
      </c>
      <c r="O21" s="10">
        <v>0</v>
      </c>
      <c r="P21" s="9">
        <v>0</v>
      </c>
      <c r="Q21" s="10">
        <v>0</v>
      </c>
      <c r="R21" s="9">
        <v>0</v>
      </c>
      <c r="S21" s="10">
        <v>0</v>
      </c>
      <c r="T21" s="9">
        <v>0</v>
      </c>
      <c r="U21" s="10">
        <v>0</v>
      </c>
    </row>
    <row r="22" spans="1:21" ht="15.75" x14ac:dyDescent="0.25">
      <c r="A22" s="11">
        <v>85</v>
      </c>
      <c r="B22" s="7">
        <v>13</v>
      </c>
      <c r="C22" s="8" t="s">
        <v>36</v>
      </c>
      <c r="D22" s="9">
        <v>0</v>
      </c>
      <c r="E22" s="10">
        <v>0</v>
      </c>
      <c r="F22" s="9">
        <v>263</v>
      </c>
      <c r="G22" s="9">
        <v>0</v>
      </c>
      <c r="H22" s="10">
        <v>0</v>
      </c>
      <c r="I22" s="9">
        <v>111</v>
      </c>
      <c r="J22" s="9">
        <v>1566</v>
      </c>
      <c r="K22" s="10">
        <v>2381.6999999999998</v>
      </c>
      <c r="L22" s="9">
        <v>319</v>
      </c>
      <c r="M22" s="10">
        <v>608.4</v>
      </c>
      <c r="N22" s="9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</row>
    <row r="23" spans="1:21" ht="15.75" x14ac:dyDescent="0.25">
      <c r="A23" s="11">
        <v>203</v>
      </c>
      <c r="B23" s="7">
        <v>14</v>
      </c>
      <c r="C23" s="8" t="s">
        <v>33</v>
      </c>
      <c r="D23" s="9">
        <v>0</v>
      </c>
      <c r="E23" s="10">
        <v>0</v>
      </c>
      <c r="F23" s="9">
        <v>292</v>
      </c>
      <c r="G23" s="9">
        <v>0</v>
      </c>
      <c r="H23" s="10">
        <v>0</v>
      </c>
      <c r="I23" s="9">
        <v>148</v>
      </c>
      <c r="J23" s="9">
        <v>985</v>
      </c>
      <c r="K23" s="10">
        <v>1109.4000000000001</v>
      </c>
      <c r="L23" s="9">
        <v>1024</v>
      </c>
      <c r="M23" s="10">
        <v>1949.1</v>
      </c>
      <c r="N23" s="9">
        <v>0</v>
      </c>
      <c r="O23" s="10">
        <v>0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10">
        <v>0</v>
      </c>
    </row>
    <row r="24" spans="1:21" ht="15.75" x14ac:dyDescent="0.25">
      <c r="A24" s="11">
        <v>79</v>
      </c>
      <c r="B24" s="7">
        <v>15</v>
      </c>
      <c r="C24" s="8" t="s">
        <v>34</v>
      </c>
      <c r="D24" s="9">
        <v>0</v>
      </c>
      <c r="E24" s="10">
        <v>0</v>
      </c>
      <c r="F24" s="9">
        <v>444</v>
      </c>
      <c r="G24" s="9">
        <v>0</v>
      </c>
      <c r="H24" s="10">
        <v>0</v>
      </c>
      <c r="I24" s="9">
        <v>194</v>
      </c>
      <c r="J24" s="9">
        <v>927</v>
      </c>
      <c r="K24" s="10">
        <v>796</v>
      </c>
      <c r="L24" s="9">
        <v>788</v>
      </c>
      <c r="M24" s="10">
        <v>1052.9000000000001</v>
      </c>
      <c r="N24" s="9">
        <v>0</v>
      </c>
      <c r="O24" s="10">
        <v>0</v>
      </c>
      <c r="P24" s="9">
        <v>0</v>
      </c>
      <c r="Q24" s="10">
        <v>0</v>
      </c>
      <c r="R24" s="9">
        <v>0</v>
      </c>
      <c r="S24" s="10">
        <v>0</v>
      </c>
      <c r="T24" s="9">
        <v>0</v>
      </c>
      <c r="U24" s="10">
        <v>0</v>
      </c>
    </row>
    <row r="25" spans="1:21" ht="15.75" x14ac:dyDescent="0.25">
      <c r="A25" s="11">
        <v>81</v>
      </c>
      <c r="B25" s="7">
        <v>16</v>
      </c>
      <c r="C25" s="8" t="s">
        <v>35</v>
      </c>
      <c r="D25" s="9">
        <v>0</v>
      </c>
      <c r="E25" s="10">
        <v>0</v>
      </c>
      <c r="F25" s="9">
        <v>164</v>
      </c>
      <c r="G25" s="9">
        <v>0</v>
      </c>
      <c r="H25" s="10">
        <v>0</v>
      </c>
      <c r="I25" s="9">
        <v>70</v>
      </c>
      <c r="J25" s="9">
        <v>0</v>
      </c>
      <c r="K25" s="10">
        <v>0</v>
      </c>
      <c r="L25" s="9">
        <v>73</v>
      </c>
      <c r="M25" s="10">
        <v>146</v>
      </c>
      <c r="N25" s="9">
        <v>0</v>
      </c>
      <c r="O25" s="10">
        <v>0</v>
      </c>
      <c r="P25" s="9">
        <v>0</v>
      </c>
      <c r="Q25" s="10">
        <v>0</v>
      </c>
      <c r="R25" s="9">
        <v>0</v>
      </c>
      <c r="S25" s="10">
        <v>0</v>
      </c>
      <c r="T25" s="9">
        <v>0</v>
      </c>
      <c r="U25" s="10">
        <v>0</v>
      </c>
    </row>
    <row r="26" spans="1:21" ht="15.75" x14ac:dyDescent="0.25">
      <c r="A26" s="11">
        <v>275</v>
      </c>
      <c r="B26" s="7">
        <v>17</v>
      </c>
      <c r="C26" s="8" t="s">
        <v>51</v>
      </c>
      <c r="D26" s="9">
        <v>0</v>
      </c>
      <c r="E26" s="10">
        <v>0</v>
      </c>
      <c r="F26" s="9">
        <v>78</v>
      </c>
      <c r="G26" s="9">
        <v>0</v>
      </c>
      <c r="H26" s="10">
        <v>0</v>
      </c>
      <c r="I26" s="9">
        <v>54</v>
      </c>
      <c r="J26" s="9">
        <v>380</v>
      </c>
      <c r="K26" s="10">
        <v>314.10000000000002</v>
      </c>
      <c r="L26" s="9">
        <v>0</v>
      </c>
      <c r="M26" s="10">
        <v>0</v>
      </c>
      <c r="N26" s="9">
        <v>0</v>
      </c>
      <c r="O26" s="10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10">
        <v>0</v>
      </c>
    </row>
    <row r="27" spans="1:21" ht="15.75" x14ac:dyDescent="0.25">
      <c r="A27" s="11">
        <v>83</v>
      </c>
      <c r="B27" s="7">
        <v>18</v>
      </c>
      <c r="C27" s="8" t="s">
        <v>26</v>
      </c>
      <c r="D27" s="9">
        <v>0</v>
      </c>
      <c r="E27" s="10">
        <v>0</v>
      </c>
      <c r="F27" s="9">
        <v>830</v>
      </c>
      <c r="G27" s="9">
        <v>0</v>
      </c>
      <c r="H27" s="10">
        <v>0</v>
      </c>
      <c r="I27" s="9">
        <v>394</v>
      </c>
      <c r="J27" s="9">
        <v>1086</v>
      </c>
      <c r="K27" s="10">
        <v>850.6</v>
      </c>
      <c r="L27" s="9">
        <v>1135</v>
      </c>
      <c r="M27" s="10">
        <v>1545.9</v>
      </c>
      <c r="N27" s="9">
        <v>0</v>
      </c>
      <c r="O27" s="10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10">
        <v>0</v>
      </c>
    </row>
    <row r="28" spans="1:21" ht="15.75" x14ac:dyDescent="0.25">
      <c r="A28" s="11">
        <v>29</v>
      </c>
      <c r="B28" s="7">
        <v>19</v>
      </c>
      <c r="C28" s="8" t="s">
        <v>81</v>
      </c>
      <c r="D28" s="9">
        <v>0</v>
      </c>
      <c r="E28" s="10">
        <v>0</v>
      </c>
      <c r="F28" s="9">
        <v>1261</v>
      </c>
      <c r="G28" s="9">
        <v>0</v>
      </c>
      <c r="H28" s="10">
        <v>0</v>
      </c>
      <c r="I28" s="9">
        <v>581</v>
      </c>
      <c r="J28" s="9">
        <v>1113</v>
      </c>
      <c r="K28" s="10">
        <v>751.3</v>
      </c>
      <c r="L28" s="9">
        <v>0</v>
      </c>
      <c r="M28" s="10">
        <v>0</v>
      </c>
      <c r="N28" s="9">
        <v>0</v>
      </c>
      <c r="O28" s="10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10">
        <v>0</v>
      </c>
    </row>
    <row r="29" spans="1:21" ht="15.75" x14ac:dyDescent="0.25">
      <c r="A29" s="11">
        <v>33</v>
      </c>
      <c r="B29" s="7">
        <v>20</v>
      </c>
      <c r="C29" s="15" t="s">
        <v>49</v>
      </c>
      <c r="D29" s="9">
        <v>4702</v>
      </c>
      <c r="E29" s="10">
        <v>9529.7999999999993</v>
      </c>
      <c r="F29" s="9">
        <v>1520</v>
      </c>
      <c r="G29" s="9">
        <v>0</v>
      </c>
      <c r="H29" s="10">
        <v>0</v>
      </c>
      <c r="I29" s="9">
        <v>1237</v>
      </c>
      <c r="J29" s="9">
        <v>6854</v>
      </c>
      <c r="K29" s="10">
        <v>5857.6</v>
      </c>
      <c r="L29" s="9">
        <v>10445</v>
      </c>
      <c r="M29" s="10">
        <v>16211.1</v>
      </c>
      <c r="N29" s="9">
        <v>0</v>
      </c>
      <c r="O29" s="10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10">
        <v>0</v>
      </c>
    </row>
    <row r="30" spans="1:21" ht="15.75" x14ac:dyDescent="0.25">
      <c r="A30" s="11">
        <v>139</v>
      </c>
      <c r="B30" s="7">
        <v>21</v>
      </c>
      <c r="C30" s="8" t="s">
        <v>82</v>
      </c>
      <c r="D30" s="9">
        <v>458</v>
      </c>
      <c r="E30" s="10">
        <v>1522.2</v>
      </c>
      <c r="F30" s="9">
        <v>0</v>
      </c>
      <c r="G30" s="9">
        <v>0</v>
      </c>
      <c r="H30" s="10">
        <v>0</v>
      </c>
      <c r="I30" s="9">
        <v>0</v>
      </c>
      <c r="J30" s="9">
        <v>0</v>
      </c>
      <c r="K30" s="10">
        <v>0</v>
      </c>
      <c r="L30" s="9">
        <v>0</v>
      </c>
      <c r="M30" s="10">
        <v>0</v>
      </c>
      <c r="N30" s="9">
        <v>0</v>
      </c>
      <c r="O30" s="10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10">
        <v>0</v>
      </c>
    </row>
    <row r="31" spans="1:21" s="1" customFormat="1" ht="15.75" x14ac:dyDescent="0.25">
      <c r="A31" s="14">
        <v>28</v>
      </c>
      <c r="B31" s="7">
        <v>22</v>
      </c>
      <c r="C31" s="8" t="s">
        <v>11</v>
      </c>
      <c r="D31" s="9">
        <v>562</v>
      </c>
      <c r="E31" s="10">
        <v>1681.1</v>
      </c>
      <c r="F31" s="9">
        <v>0</v>
      </c>
      <c r="G31" s="9">
        <v>0</v>
      </c>
      <c r="H31" s="10">
        <v>0</v>
      </c>
      <c r="I31" s="9">
        <v>0</v>
      </c>
      <c r="J31" s="9">
        <v>0</v>
      </c>
      <c r="K31" s="10">
        <v>0</v>
      </c>
      <c r="L31" s="9">
        <v>0</v>
      </c>
      <c r="M31" s="10">
        <v>0</v>
      </c>
      <c r="N31" s="9">
        <v>0</v>
      </c>
      <c r="O31" s="10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10">
        <v>0</v>
      </c>
    </row>
    <row r="32" spans="1:21" s="1" customFormat="1" ht="15.75" x14ac:dyDescent="0.25">
      <c r="A32" s="14">
        <v>133</v>
      </c>
      <c r="B32" s="7">
        <v>23</v>
      </c>
      <c r="C32" s="8" t="s">
        <v>83</v>
      </c>
      <c r="D32" s="9">
        <v>0</v>
      </c>
      <c r="E32" s="10">
        <v>0</v>
      </c>
      <c r="F32" s="9">
        <v>60</v>
      </c>
      <c r="G32" s="9">
        <v>2529</v>
      </c>
      <c r="H32" s="10">
        <v>7471.3</v>
      </c>
      <c r="I32" s="9">
        <v>354</v>
      </c>
      <c r="J32" s="9">
        <v>1440</v>
      </c>
      <c r="K32" s="10">
        <v>1226.5999999999999</v>
      </c>
      <c r="L32" s="9">
        <v>520</v>
      </c>
      <c r="M32" s="10">
        <v>877.5</v>
      </c>
      <c r="N32" s="9">
        <v>0</v>
      </c>
      <c r="O32" s="10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10">
        <v>0</v>
      </c>
    </row>
    <row r="33" spans="1:21" s="1" customFormat="1" ht="15.75" x14ac:dyDescent="0.25">
      <c r="A33" s="14">
        <v>135</v>
      </c>
      <c r="B33" s="7">
        <v>24</v>
      </c>
      <c r="C33" s="8" t="s">
        <v>84</v>
      </c>
      <c r="D33" s="9">
        <v>0</v>
      </c>
      <c r="E33" s="10">
        <v>0</v>
      </c>
      <c r="F33" s="9">
        <v>168</v>
      </c>
      <c r="G33" s="9">
        <v>0</v>
      </c>
      <c r="H33" s="10">
        <v>0</v>
      </c>
      <c r="I33" s="9">
        <v>882</v>
      </c>
      <c r="J33" s="9">
        <v>4690</v>
      </c>
      <c r="K33" s="10">
        <v>3919.8</v>
      </c>
      <c r="L33" s="9">
        <v>0</v>
      </c>
      <c r="M33" s="10">
        <v>0</v>
      </c>
      <c r="N33" s="9">
        <v>0</v>
      </c>
      <c r="O33" s="10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10">
        <v>0</v>
      </c>
    </row>
    <row r="34" spans="1:21" s="1" customFormat="1" ht="15.75" x14ac:dyDescent="0.25">
      <c r="A34" s="14">
        <v>146</v>
      </c>
      <c r="B34" s="7">
        <v>25</v>
      </c>
      <c r="C34" s="8" t="s">
        <v>20</v>
      </c>
      <c r="D34" s="9">
        <v>0</v>
      </c>
      <c r="E34" s="10">
        <v>0</v>
      </c>
      <c r="F34" s="9">
        <v>8</v>
      </c>
      <c r="G34" s="9">
        <v>0</v>
      </c>
      <c r="H34" s="10">
        <v>0</v>
      </c>
      <c r="I34" s="9">
        <v>104</v>
      </c>
      <c r="J34" s="9">
        <v>2406</v>
      </c>
      <c r="K34" s="10">
        <v>2006.5</v>
      </c>
      <c r="L34" s="9">
        <v>650</v>
      </c>
      <c r="M34" s="10">
        <v>1059.8</v>
      </c>
      <c r="N34" s="9">
        <v>0</v>
      </c>
      <c r="O34" s="10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10">
        <v>0</v>
      </c>
    </row>
    <row r="35" spans="1:21" s="1" customFormat="1" ht="15.75" x14ac:dyDescent="0.25">
      <c r="A35" s="14">
        <v>144</v>
      </c>
      <c r="B35" s="7">
        <v>26</v>
      </c>
      <c r="C35" s="8" t="s">
        <v>24</v>
      </c>
      <c r="D35" s="9">
        <v>2024</v>
      </c>
      <c r="E35" s="10">
        <v>7205.1</v>
      </c>
      <c r="F35" s="9">
        <v>2</v>
      </c>
      <c r="G35" s="9">
        <v>707</v>
      </c>
      <c r="H35" s="10">
        <v>1432.2</v>
      </c>
      <c r="I35" s="243">
        <f>1728-100-61</f>
        <v>1567</v>
      </c>
      <c r="J35" s="9">
        <v>4660</v>
      </c>
      <c r="K35" s="10">
        <v>4953.8999999999996</v>
      </c>
      <c r="L35" s="9">
        <v>2488</v>
      </c>
      <c r="M35" s="10">
        <v>4291.3999999999996</v>
      </c>
      <c r="N35" s="9">
        <v>0</v>
      </c>
      <c r="O35" s="10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10">
        <v>0</v>
      </c>
    </row>
    <row r="36" spans="1:21" s="1" customFormat="1" ht="15.75" x14ac:dyDescent="0.25">
      <c r="A36" s="14">
        <v>188</v>
      </c>
      <c r="B36" s="7">
        <v>27</v>
      </c>
      <c r="C36" s="8" t="s">
        <v>27</v>
      </c>
      <c r="D36" s="9">
        <v>22331</v>
      </c>
      <c r="E36" s="10">
        <v>86280.3</v>
      </c>
      <c r="F36" s="9">
        <v>12122</v>
      </c>
      <c r="G36" s="9">
        <v>13941</v>
      </c>
      <c r="H36" s="10">
        <v>81237.399999999994</v>
      </c>
      <c r="I36" s="9">
        <f>13623+104+61</f>
        <v>13788</v>
      </c>
      <c r="J36" s="9">
        <v>5729</v>
      </c>
      <c r="K36" s="10">
        <v>5134.8</v>
      </c>
      <c r="L36" s="9">
        <v>9009</v>
      </c>
      <c r="M36" s="10">
        <v>17277.8</v>
      </c>
      <c r="N36" s="9">
        <v>19877</v>
      </c>
      <c r="O36" s="10">
        <v>41188.400000000001</v>
      </c>
      <c r="P36" s="9">
        <v>1241</v>
      </c>
      <c r="Q36" s="10">
        <v>15431.4</v>
      </c>
      <c r="R36" s="9">
        <v>8661</v>
      </c>
      <c r="S36" s="10">
        <v>27556.6</v>
      </c>
      <c r="T36" s="9">
        <v>0</v>
      </c>
      <c r="U36" s="10">
        <v>0</v>
      </c>
    </row>
    <row r="37" spans="1:21" s="1" customFormat="1" ht="15.75" x14ac:dyDescent="0.25">
      <c r="A37" s="14">
        <v>367</v>
      </c>
      <c r="B37" s="7">
        <v>28</v>
      </c>
      <c r="C37" s="8" t="s">
        <v>64</v>
      </c>
      <c r="D37" s="9">
        <v>191</v>
      </c>
      <c r="E37" s="10">
        <v>444.3</v>
      </c>
      <c r="F37" s="9">
        <v>0</v>
      </c>
      <c r="G37" s="9">
        <v>0</v>
      </c>
      <c r="H37" s="10">
        <v>0</v>
      </c>
      <c r="I37" s="9">
        <v>0</v>
      </c>
      <c r="J37" s="9">
        <v>0</v>
      </c>
      <c r="K37" s="10">
        <v>0</v>
      </c>
      <c r="L37" s="9">
        <v>0</v>
      </c>
      <c r="M37" s="10">
        <v>0</v>
      </c>
      <c r="N37" s="9">
        <v>0</v>
      </c>
      <c r="O37" s="10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10">
        <v>0</v>
      </c>
    </row>
    <row r="38" spans="1:21" s="1" customFormat="1" ht="30" x14ac:dyDescent="0.25">
      <c r="A38" s="14">
        <v>327</v>
      </c>
      <c r="B38" s="7">
        <v>29</v>
      </c>
      <c r="C38" s="8" t="s">
        <v>85</v>
      </c>
      <c r="D38" s="9">
        <v>0</v>
      </c>
      <c r="E38" s="10">
        <v>0</v>
      </c>
      <c r="F38" s="9">
        <v>0</v>
      </c>
      <c r="G38" s="9">
        <v>0</v>
      </c>
      <c r="H38" s="10">
        <v>0</v>
      </c>
      <c r="I38" s="9">
        <v>0</v>
      </c>
      <c r="J38" s="9">
        <v>6709</v>
      </c>
      <c r="K38" s="10">
        <v>5266.5</v>
      </c>
      <c r="L38" s="9">
        <v>0</v>
      </c>
      <c r="M38" s="10">
        <v>0</v>
      </c>
      <c r="N38" s="9">
        <v>0</v>
      </c>
      <c r="O38" s="10">
        <v>0</v>
      </c>
      <c r="P38" s="9">
        <v>335</v>
      </c>
      <c r="Q38" s="10">
        <v>2607.9</v>
      </c>
      <c r="R38" s="9">
        <v>0</v>
      </c>
      <c r="S38" s="10">
        <v>0</v>
      </c>
      <c r="T38" s="9">
        <v>0</v>
      </c>
      <c r="U38" s="10">
        <v>0</v>
      </c>
    </row>
    <row r="39" spans="1:21" s="1" customFormat="1" ht="15.75" x14ac:dyDescent="0.25">
      <c r="A39" s="14">
        <v>466</v>
      </c>
      <c r="B39" s="7">
        <v>30</v>
      </c>
      <c r="C39" s="8" t="s">
        <v>86</v>
      </c>
      <c r="D39" s="9">
        <v>568</v>
      </c>
      <c r="E39" s="10">
        <v>1206</v>
      </c>
      <c r="F39" s="9">
        <v>22</v>
      </c>
      <c r="G39" s="9">
        <v>119</v>
      </c>
      <c r="H39" s="10">
        <v>723.4</v>
      </c>
      <c r="I39" s="9">
        <v>0</v>
      </c>
      <c r="J39" s="9">
        <v>6554</v>
      </c>
      <c r="K39" s="10">
        <v>5142.7</v>
      </c>
      <c r="L39" s="9">
        <v>0</v>
      </c>
      <c r="M39" s="10">
        <v>0</v>
      </c>
      <c r="N39" s="9">
        <v>0</v>
      </c>
      <c r="O39" s="10">
        <v>0</v>
      </c>
      <c r="P39" s="9">
        <v>0</v>
      </c>
      <c r="Q39" s="10">
        <v>0</v>
      </c>
      <c r="R39" s="9">
        <v>1594</v>
      </c>
      <c r="S39" s="10">
        <v>6869.1</v>
      </c>
      <c r="T39" s="9">
        <v>0</v>
      </c>
      <c r="U39" s="10">
        <v>0</v>
      </c>
    </row>
    <row r="40" spans="1:21" s="1" customFormat="1" ht="15.75" x14ac:dyDescent="0.25">
      <c r="A40" s="14">
        <v>465</v>
      </c>
      <c r="B40" s="7">
        <v>31</v>
      </c>
      <c r="C40" s="8" t="s">
        <v>87</v>
      </c>
      <c r="D40" s="9">
        <v>0</v>
      </c>
      <c r="E40" s="10">
        <v>0</v>
      </c>
      <c r="F40" s="9">
        <v>0</v>
      </c>
      <c r="G40" s="9">
        <v>0</v>
      </c>
      <c r="H40" s="10">
        <v>0</v>
      </c>
      <c r="I40" s="9">
        <v>0</v>
      </c>
      <c r="J40" s="9">
        <v>0</v>
      </c>
      <c r="K40" s="10">
        <v>0</v>
      </c>
      <c r="L40" s="9">
        <v>0</v>
      </c>
      <c r="M40" s="10">
        <v>0</v>
      </c>
      <c r="N40" s="9">
        <v>719</v>
      </c>
      <c r="O40" s="10">
        <v>7572.5</v>
      </c>
      <c r="P40" s="9">
        <v>654</v>
      </c>
      <c r="Q40" s="10">
        <v>14961.7</v>
      </c>
      <c r="R40" s="9">
        <v>0</v>
      </c>
      <c r="S40" s="10">
        <v>0</v>
      </c>
      <c r="T40" s="9">
        <v>0</v>
      </c>
      <c r="U40" s="10">
        <v>0</v>
      </c>
    </row>
    <row r="41" spans="1:21" s="1" customFormat="1" ht="15.75" x14ac:dyDescent="0.25">
      <c r="A41" s="14">
        <v>173</v>
      </c>
      <c r="B41" s="7">
        <v>32</v>
      </c>
      <c r="C41" s="8" t="s">
        <v>42</v>
      </c>
      <c r="D41" s="9">
        <v>398</v>
      </c>
      <c r="E41" s="10">
        <v>996.5</v>
      </c>
      <c r="F41" s="9">
        <v>30</v>
      </c>
      <c r="G41" s="9">
        <v>8</v>
      </c>
      <c r="H41" s="10">
        <v>5.6</v>
      </c>
      <c r="I41" s="9">
        <v>100</v>
      </c>
      <c r="J41" s="9">
        <v>0</v>
      </c>
      <c r="K41" s="10">
        <v>0</v>
      </c>
      <c r="L41" s="9">
        <v>13</v>
      </c>
      <c r="M41" s="10">
        <v>7.9</v>
      </c>
      <c r="N41" s="9">
        <v>0</v>
      </c>
      <c r="O41" s="10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10">
        <v>0</v>
      </c>
    </row>
    <row r="42" spans="1:21" s="1" customFormat="1" ht="15.75" x14ac:dyDescent="0.25">
      <c r="A42" s="14">
        <v>354</v>
      </c>
      <c r="B42" s="7">
        <v>33</v>
      </c>
      <c r="C42" s="8" t="s">
        <v>59</v>
      </c>
      <c r="D42" s="9">
        <v>4605</v>
      </c>
      <c r="E42" s="10">
        <v>12093.8</v>
      </c>
      <c r="F42" s="9">
        <v>2083</v>
      </c>
      <c r="G42" s="9">
        <v>0</v>
      </c>
      <c r="H42" s="10">
        <v>0</v>
      </c>
      <c r="I42" s="9">
        <v>2203</v>
      </c>
      <c r="J42" s="9">
        <v>7746</v>
      </c>
      <c r="K42" s="10">
        <v>6302</v>
      </c>
      <c r="L42" s="9">
        <v>5994</v>
      </c>
      <c r="M42" s="10">
        <v>10976.8</v>
      </c>
      <c r="N42" s="9">
        <v>3147</v>
      </c>
      <c r="O42" s="10">
        <v>2873.2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10">
        <v>0</v>
      </c>
    </row>
    <row r="43" spans="1:21" s="1" customFormat="1" ht="15.75" x14ac:dyDescent="0.25">
      <c r="A43" s="14">
        <v>151</v>
      </c>
      <c r="B43" s="7">
        <v>34</v>
      </c>
      <c r="C43" s="8" t="s">
        <v>66</v>
      </c>
      <c r="D43" s="9">
        <v>0</v>
      </c>
      <c r="E43" s="10">
        <v>0</v>
      </c>
      <c r="F43" s="9">
        <v>130</v>
      </c>
      <c r="G43" s="9">
        <v>0</v>
      </c>
      <c r="H43" s="10">
        <v>0</v>
      </c>
      <c r="I43" s="9">
        <v>78</v>
      </c>
      <c r="J43" s="9">
        <v>271</v>
      </c>
      <c r="K43" s="10">
        <v>189.1</v>
      </c>
      <c r="L43" s="9">
        <v>191</v>
      </c>
      <c r="M43" s="10">
        <v>298.89999999999998</v>
      </c>
      <c r="N43" s="9">
        <v>0</v>
      </c>
      <c r="O43" s="10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10">
        <v>0</v>
      </c>
    </row>
    <row r="44" spans="1:21" s="1" customFormat="1" ht="20.25" customHeight="1" x14ac:dyDescent="0.25">
      <c r="A44" s="14">
        <v>4</v>
      </c>
      <c r="B44" s="7">
        <v>35</v>
      </c>
      <c r="C44" s="8" t="s">
        <v>53</v>
      </c>
      <c r="D44" s="9">
        <v>0</v>
      </c>
      <c r="E44" s="10">
        <v>0</v>
      </c>
      <c r="F44" s="9">
        <v>1907</v>
      </c>
      <c r="G44" s="9">
        <v>0</v>
      </c>
      <c r="H44" s="10">
        <v>0</v>
      </c>
      <c r="I44" s="9">
        <v>894</v>
      </c>
      <c r="J44" s="9">
        <v>2647</v>
      </c>
      <c r="K44" s="10">
        <v>2357.1999999999998</v>
      </c>
      <c r="L44" s="9">
        <v>0</v>
      </c>
      <c r="M44" s="10">
        <v>0</v>
      </c>
      <c r="N44" s="9">
        <v>0</v>
      </c>
      <c r="O44" s="10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10">
        <v>0</v>
      </c>
    </row>
    <row r="45" spans="1:21" s="1" customFormat="1" ht="15.75" x14ac:dyDescent="0.25">
      <c r="A45" s="14">
        <v>10</v>
      </c>
      <c r="B45" s="7">
        <v>36</v>
      </c>
      <c r="C45" s="8" t="s">
        <v>88</v>
      </c>
      <c r="D45" s="9">
        <v>0</v>
      </c>
      <c r="E45" s="10">
        <v>0</v>
      </c>
      <c r="F45" s="9">
        <v>3643</v>
      </c>
      <c r="G45" s="9">
        <v>0</v>
      </c>
      <c r="H45" s="10">
        <v>0</v>
      </c>
      <c r="I45" s="9">
        <v>1481</v>
      </c>
      <c r="J45" s="9">
        <v>3413</v>
      </c>
      <c r="K45" s="10">
        <v>2830.5</v>
      </c>
      <c r="L45" s="9">
        <v>3910</v>
      </c>
      <c r="M45" s="10">
        <v>6493.8</v>
      </c>
      <c r="N45" s="9">
        <v>0</v>
      </c>
      <c r="O45" s="10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10">
        <v>0</v>
      </c>
    </row>
    <row r="46" spans="1:21" s="1" customFormat="1" ht="15.75" x14ac:dyDescent="0.25">
      <c r="A46" s="14">
        <v>35</v>
      </c>
      <c r="B46" s="7">
        <v>37</v>
      </c>
      <c r="C46" s="8" t="s">
        <v>50</v>
      </c>
      <c r="D46" s="9">
        <v>0</v>
      </c>
      <c r="E46" s="10">
        <v>0</v>
      </c>
      <c r="F46" s="9">
        <v>497</v>
      </c>
      <c r="G46" s="9">
        <v>0</v>
      </c>
      <c r="H46" s="10">
        <v>0</v>
      </c>
      <c r="I46" s="9">
        <v>715</v>
      </c>
      <c r="J46" s="9">
        <v>1515</v>
      </c>
      <c r="K46" s="10">
        <v>1118.0999999999999</v>
      </c>
      <c r="L46" s="9">
        <v>0</v>
      </c>
      <c r="M46" s="10">
        <v>0</v>
      </c>
      <c r="N46" s="9">
        <v>0</v>
      </c>
      <c r="O46" s="10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10">
        <v>0</v>
      </c>
    </row>
    <row r="47" spans="1:21" s="1" customFormat="1" ht="15.75" x14ac:dyDescent="0.25">
      <c r="A47" s="14">
        <v>13</v>
      </c>
      <c r="B47" s="7">
        <v>38</v>
      </c>
      <c r="C47" s="8" t="s">
        <v>63</v>
      </c>
      <c r="D47" s="9">
        <v>0</v>
      </c>
      <c r="E47" s="10">
        <v>0</v>
      </c>
      <c r="F47" s="9">
        <v>507</v>
      </c>
      <c r="G47" s="9">
        <v>0</v>
      </c>
      <c r="H47" s="10">
        <v>0</v>
      </c>
      <c r="I47" s="9">
        <v>256</v>
      </c>
      <c r="J47" s="9">
        <v>703</v>
      </c>
      <c r="K47" s="10">
        <v>598.6</v>
      </c>
      <c r="L47" s="9">
        <v>0</v>
      </c>
      <c r="M47" s="10">
        <v>0</v>
      </c>
      <c r="N47" s="9">
        <v>0</v>
      </c>
      <c r="O47" s="10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10">
        <v>0</v>
      </c>
    </row>
    <row r="48" spans="1:21" s="1" customFormat="1" ht="15.75" x14ac:dyDescent="0.25">
      <c r="A48" s="14">
        <v>140</v>
      </c>
      <c r="B48" s="7">
        <v>39</v>
      </c>
      <c r="C48" s="8" t="s">
        <v>495</v>
      </c>
      <c r="D48" s="9">
        <v>967</v>
      </c>
      <c r="E48" s="10">
        <v>1883.1</v>
      </c>
      <c r="F48" s="9">
        <v>1175</v>
      </c>
      <c r="G48" s="9">
        <v>0</v>
      </c>
      <c r="H48" s="10">
        <v>0</v>
      </c>
      <c r="I48" s="9">
        <v>954</v>
      </c>
      <c r="J48" s="9">
        <v>9526</v>
      </c>
      <c r="K48" s="10">
        <v>7848.4</v>
      </c>
      <c r="L48" s="9">
        <v>6225</v>
      </c>
      <c r="M48" s="10">
        <v>9147.6</v>
      </c>
      <c r="N48" s="9">
        <v>0</v>
      </c>
      <c r="O48" s="10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10">
        <v>0</v>
      </c>
    </row>
    <row r="49" spans="1:21" s="1" customFormat="1" ht="15.75" x14ac:dyDescent="0.25">
      <c r="A49" s="14">
        <v>381</v>
      </c>
      <c r="B49" s="7">
        <v>40</v>
      </c>
      <c r="C49" s="8" t="s">
        <v>65</v>
      </c>
      <c r="D49" s="9">
        <v>0</v>
      </c>
      <c r="E49" s="10">
        <v>0</v>
      </c>
      <c r="F49" s="9">
        <v>0</v>
      </c>
      <c r="G49" s="9">
        <v>0</v>
      </c>
      <c r="H49" s="10">
        <v>0</v>
      </c>
      <c r="I49" s="9">
        <v>0</v>
      </c>
      <c r="J49" s="9">
        <v>0</v>
      </c>
      <c r="K49" s="10">
        <v>0</v>
      </c>
      <c r="L49" s="9">
        <v>0</v>
      </c>
      <c r="M49" s="10">
        <v>0</v>
      </c>
      <c r="N49" s="9">
        <v>3604</v>
      </c>
      <c r="O49" s="10">
        <v>7034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10">
        <v>0</v>
      </c>
    </row>
    <row r="50" spans="1:21" s="1" customFormat="1" ht="15.75" x14ac:dyDescent="0.25">
      <c r="A50" s="14">
        <v>399</v>
      </c>
      <c r="B50" s="7">
        <v>41</v>
      </c>
      <c r="C50" s="8" t="s">
        <v>47</v>
      </c>
      <c r="D50" s="9">
        <v>0</v>
      </c>
      <c r="E50" s="10">
        <v>0</v>
      </c>
      <c r="F50" s="9">
        <v>0</v>
      </c>
      <c r="G50" s="9">
        <v>0</v>
      </c>
      <c r="H50" s="10">
        <v>0</v>
      </c>
      <c r="I50" s="9">
        <v>0</v>
      </c>
      <c r="J50" s="9">
        <v>9286</v>
      </c>
      <c r="K50" s="10">
        <v>10695.1</v>
      </c>
      <c r="L50" s="9">
        <v>2947</v>
      </c>
      <c r="M50" s="10">
        <v>5145.2</v>
      </c>
      <c r="N50" s="9">
        <v>0</v>
      </c>
      <c r="O50" s="10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10">
        <v>0</v>
      </c>
    </row>
    <row r="51" spans="1:21" s="1" customFormat="1" ht="15.75" x14ac:dyDescent="0.25">
      <c r="A51" s="14">
        <v>447</v>
      </c>
      <c r="B51" s="7">
        <v>42</v>
      </c>
      <c r="C51" s="13" t="s">
        <v>38</v>
      </c>
      <c r="D51" s="9">
        <v>0</v>
      </c>
      <c r="E51" s="10">
        <v>0</v>
      </c>
      <c r="F51" s="9">
        <v>0</v>
      </c>
      <c r="G51" s="9">
        <v>0</v>
      </c>
      <c r="H51" s="10">
        <v>0</v>
      </c>
      <c r="I51" s="9">
        <v>0</v>
      </c>
      <c r="J51" s="9">
        <v>0</v>
      </c>
      <c r="K51" s="10">
        <v>0</v>
      </c>
      <c r="L51" s="9">
        <v>2605</v>
      </c>
      <c r="M51" s="10">
        <v>3497.4</v>
      </c>
      <c r="N51" s="9">
        <v>0</v>
      </c>
      <c r="O51" s="10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10">
        <v>0</v>
      </c>
    </row>
    <row r="52" spans="1:21" s="1" customFormat="1" ht="15.75" x14ac:dyDescent="0.25">
      <c r="A52" s="14">
        <v>320</v>
      </c>
      <c r="B52" s="7">
        <v>43</v>
      </c>
      <c r="C52" s="8" t="s">
        <v>67</v>
      </c>
      <c r="D52" s="9">
        <v>5035</v>
      </c>
      <c r="E52" s="10">
        <v>20550.900000000001</v>
      </c>
      <c r="F52" s="9">
        <v>0</v>
      </c>
      <c r="G52" s="9">
        <v>4807</v>
      </c>
      <c r="H52" s="10">
        <v>17502.599999999999</v>
      </c>
      <c r="I52" s="9">
        <v>0</v>
      </c>
      <c r="J52" s="9">
        <v>0</v>
      </c>
      <c r="K52" s="10">
        <v>0</v>
      </c>
      <c r="L52" s="9">
        <v>0</v>
      </c>
      <c r="M52" s="10">
        <v>0</v>
      </c>
      <c r="N52" s="9">
        <v>0</v>
      </c>
      <c r="O52" s="10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10">
        <v>0</v>
      </c>
    </row>
    <row r="53" spans="1:21" s="1" customFormat="1" ht="15.75" x14ac:dyDescent="0.25">
      <c r="A53" s="14">
        <v>425</v>
      </c>
      <c r="B53" s="7">
        <v>44</v>
      </c>
      <c r="C53" s="8" t="s">
        <v>56</v>
      </c>
      <c r="D53" s="9">
        <v>12550</v>
      </c>
      <c r="E53" s="10">
        <v>40748.5</v>
      </c>
      <c r="F53" s="9">
        <v>0</v>
      </c>
      <c r="G53" s="9">
        <v>6325</v>
      </c>
      <c r="H53" s="10">
        <v>30895.4</v>
      </c>
      <c r="I53" s="9">
        <v>0</v>
      </c>
      <c r="J53" s="9">
        <v>0</v>
      </c>
      <c r="K53" s="10">
        <v>0</v>
      </c>
      <c r="L53" s="9">
        <v>0</v>
      </c>
      <c r="M53" s="10">
        <v>0</v>
      </c>
      <c r="N53" s="9">
        <v>0</v>
      </c>
      <c r="O53" s="10">
        <v>0</v>
      </c>
      <c r="P53" s="9">
        <v>0</v>
      </c>
      <c r="Q53" s="10">
        <v>0</v>
      </c>
      <c r="R53" s="9">
        <v>0</v>
      </c>
      <c r="S53" s="10">
        <v>0</v>
      </c>
      <c r="T53" s="9">
        <v>2200</v>
      </c>
      <c r="U53" s="10">
        <v>84793.5</v>
      </c>
    </row>
    <row r="54" spans="1:21" s="1" customFormat="1" ht="15.75" x14ac:dyDescent="0.25">
      <c r="A54" s="14">
        <v>387</v>
      </c>
      <c r="B54" s="7">
        <v>45</v>
      </c>
      <c r="C54" s="13" t="s">
        <v>68</v>
      </c>
      <c r="D54" s="9">
        <v>0</v>
      </c>
      <c r="E54" s="10">
        <v>0</v>
      </c>
      <c r="F54" s="9">
        <v>0</v>
      </c>
      <c r="G54" s="9">
        <v>1271</v>
      </c>
      <c r="H54" s="10">
        <v>3580.5</v>
      </c>
      <c r="I54" s="9">
        <v>0</v>
      </c>
      <c r="J54" s="9">
        <v>0</v>
      </c>
      <c r="K54" s="10">
        <v>0</v>
      </c>
      <c r="L54" s="9">
        <v>0</v>
      </c>
      <c r="M54" s="10">
        <v>0</v>
      </c>
      <c r="N54" s="9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</row>
    <row r="55" spans="1:21" s="1" customFormat="1" ht="15.75" x14ac:dyDescent="0.25">
      <c r="A55" s="14">
        <v>396</v>
      </c>
      <c r="B55" s="7">
        <v>46</v>
      </c>
      <c r="C55" s="8" t="s">
        <v>69</v>
      </c>
      <c r="D55" s="9">
        <v>0</v>
      </c>
      <c r="E55" s="10">
        <v>0</v>
      </c>
      <c r="F55" s="9">
        <v>0</v>
      </c>
      <c r="G55" s="9">
        <v>0</v>
      </c>
      <c r="H55" s="10">
        <v>0</v>
      </c>
      <c r="I55" s="9">
        <v>0</v>
      </c>
      <c r="J55" s="9">
        <v>14800</v>
      </c>
      <c r="K55" s="10">
        <v>22589.1</v>
      </c>
      <c r="L55" s="9">
        <v>0</v>
      </c>
      <c r="M55" s="10">
        <v>0</v>
      </c>
      <c r="N55" s="9">
        <v>0</v>
      </c>
      <c r="O55" s="10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10">
        <v>0</v>
      </c>
    </row>
    <row r="56" spans="1:21" s="1" customFormat="1" ht="15.75" x14ac:dyDescent="0.25">
      <c r="A56" s="14">
        <v>459</v>
      </c>
      <c r="B56" s="7">
        <v>47</v>
      </c>
      <c r="C56" s="8" t="s">
        <v>70</v>
      </c>
      <c r="D56" s="9">
        <v>0</v>
      </c>
      <c r="E56" s="10">
        <v>0</v>
      </c>
      <c r="F56" s="9">
        <v>0</v>
      </c>
      <c r="G56" s="9">
        <v>759</v>
      </c>
      <c r="H56" s="10">
        <v>4549.2</v>
      </c>
      <c r="I56" s="9">
        <v>0</v>
      </c>
      <c r="J56" s="9">
        <v>0</v>
      </c>
      <c r="K56" s="10">
        <v>0</v>
      </c>
      <c r="L56" s="9">
        <v>0</v>
      </c>
      <c r="M56" s="10">
        <v>0</v>
      </c>
      <c r="N56" s="9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</row>
    <row r="57" spans="1:21" s="1" customFormat="1" ht="15.75" x14ac:dyDescent="0.25">
      <c r="A57" s="14">
        <v>355</v>
      </c>
      <c r="B57" s="7">
        <v>48</v>
      </c>
      <c r="C57" s="8" t="s">
        <v>90</v>
      </c>
      <c r="D57" s="9">
        <v>836</v>
      </c>
      <c r="E57" s="10">
        <v>1842.6</v>
      </c>
      <c r="F57" s="9">
        <v>1</v>
      </c>
      <c r="G57" s="9">
        <v>0</v>
      </c>
      <c r="H57" s="10">
        <v>0</v>
      </c>
      <c r="I57" s="9">
        <v>0</v>
      </c>
      <c r="J57" s="9">
        <v>0</v>
      </c>
      <c r="K57" s="10">
        <v>0</v>
      </c>
      <c r="L57" s="9">
        <v>0</v>
      </c>
      <c r="M57" s="10">
        <v>0</v>
      </c>
      <c r="N57" s="9">
        <v>0</v>
      </c>
      <c r="O57" s="10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10">
        <v>0</v>
      </c>
    </row>
    <row r="58" spans="1:21" s="1" customFormat="1" ht="15.75" x14ac:dyDescent="0.25">
      <c r="A58" s="14">
        <v>205</v>
      </c>
      <c r="B58" s="7">
        <v>49</v>
      </c>
      <c r="C58" s="8" t="s">
        <v>91</v>
      </c>
      <c r="D58" s="9">
        <v>0</v>
      </c>
      <c r="E58" s="10">
        <v>0</v>
      </c>
      <c r="F58" s="9">
        <v>799</v>
      </c>
      <c r="G58" s="9">
        <v>0</v>
      </c>
      <c r="H58" s="10">
        <v>0</v>
      </c>
      <c r="I58" s="9">
        <v>334</v>
      </c>
      <c r="J58" s="9">
        <v>1911</v>
      </c>
      <c r="K58" s="10">
        <v>1641.4</v>
      </c>
      <c r="L58" s="9">
        <v>0</v>
      </c>
      <c r="M58" s="10">
        <v>0</v>
      </c>
      <c r="N58" s="9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</row>
    <row r="59" spans="1:21" s="1" customFormat="1" ht="15.75" x14ac:dyDescent="0.25">
      <c r="A59" s="14">
        <v>61</v>
      </c>
      <c r="B59" s="7">
        <v>50</v>
      </c>
      <c r="C59" s="184" t="s">
        <v>48</v>
      </c>
      <c r="D59" s="9">
        <v>0</v>
      </c>
      <c r="E59" s="10">
        <v>0</v>
      </c>
      <c r="F59" s="9">
        <v>242</v>
      </c>
      <c r="G59" s="9">
        <v>0</v>
      </c>
      <c r="H59" s="10">
        <v>0</v>
      </c>
      <c r="I59" s="9">
        <v>86</v>
      </c>
      <c r="J59" s="9">
        <v>0</v>
      </c>
      <c r="K59" s="10">
        <v>0</v>
      </c>
      <c r="L59" s="9">
        <v>0</v>
      </c>
      <c r="M59" s="10">
        <v>0</v>
      </c>
      <c r="N59" s="9">
        <v>0</v>
      </c>
      <c r="O59" s="10">
        <v>0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10">
        <v>0</v>
      </c>
    </row>
    <row r="60" spans="1:21" s="1" customFormat="1" ht="15.75" x14ac:dyDescent="0.25">
      <c r="A60" s="14">
        <v>232</v>
      </c>
      <c r="B60" s="7">
        <v>51</v>
      </c>
      <c r="C60" s="184" t="s">
        <v>55</v>
      </c>
      <c r="D60" s="9">
        <v>0</v>
      </c>
      <c r="E60" s="10">
        <v>0</v>
      </c>
      <c r="F60" s="9">
        <v>578</v>
      </c>
      <c r="G60" s="9">
        <v>0</v>
      </c>
      <c r="H60" s="10">
        <v>0</v>
      </c>
      <c r="I60" s="9">
        <v>298</v>
      </c>
      <c r="J60" s="9">
        <v>0</v>
      </c>
      <c r="K60" s="10">
        <v>0</v>
      </c>
      <c r="L60" s="9">
        <v>0</v>
      </c>
      <c r="M60" s="10">
        <v>0</v>
      </c>
      <c r="N60" s="9">
        <v>0</v>
      </c>
      <c r="O60" s="10">
        <v>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10">
        <v>0</v>
      </c>
    </row>
    <row r="61" spans="1:21" s="1" customFormat="1" ht="15.75" x14ac:dyDescent="0.25">
      <c r="A61" s="14">
        <v>49</v>
      </c>
      <c r="B61" s="7">
        <v>52</v>
      </c>
      <c r="C61" s="184" t="s">
        <v>18</v>
      </c>
      <c r="D61" s="9">
        <v>0</v>
      </c>
      <c r="E61" s="10">
        <v>0</v>
      </c>
      <c r="F61" s="9">
        <v>930</v>
      </c>
      <c r="G61" s="9">
        <v>0</v>
      </c>
      <c r="H61" s="10">
        <v>0</v>
      </c>
      <c r="I61" s="9">
        <v>454</v>
      </c>
      <c r="J61" s="9">
        <v>0</v>
      </c>
      <c r="K61" s="10">
        <v>0</v>
      </c>
      <c r="L61" s="9">
        <v>0</v>
      </c>
      <c r="M61" s="10">
        <v>0</v>
      </c>
      <c r="N61" s="9">
        <v>0</v>
      </c>
      <c r="O61" s="10">
        <v>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10">
        <v>0</v>
      </c>
    </row>
    <row r="62" spans="1:21" s="1" customFormat="1" ht="15.75" x14ac:dyDescent="0.25">
      <c r="A62" s="14">
        <v>142</v>
      </c>
      <c r="B62" s="7">
        <v>53</v>
      </c>
      <c r="C62" s="184" t="s">
        <v>176</v>
      </c>
      <c r="D62" s="9">
        <v>0</v>
      </c>
      <c r="E62" s="10">
        <v>0</v>
      </c>
      <c r="F62" s="9">
        <v>0</v>
      </c>
      <c r="G62" s="9">
        <v>0</v>
      </c>
      <c r="H62" s="10">
        <v>0</v>
      </c>
      <c r="I62" s="9">
        <v>8</v>
      </c>
      <c r="J62" s="9">
        <v>0</v>
      </c>
      <c r="K62" s="10">
        <v>0</v>
      </c>
      <c r="L62" s="9">
        <v>0</v>
      </c>
      <c r="M62" s="10">
        <v>0</v>
      </c>
      <c r="N62" s="9">
        <v>0</v>
      </c>
      <c r="O62" s="10">
        <v>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10">
        <v>0</v>
      </c>
    </row>
    <row r="63" spans="1:21" s="1" customFormat="1" ht="15.75" x14ac:dyDescent="0.25">
      <c r="A63" s="14">
        <v>129</v>
      </c>
      <c r="B63" s="7">
        <v>54</v>
      </c>
      <c r="C63" s="184" t="s">
        <v>224</v>
      </c>
      <c r="D63" s="9">
        <v>0</v>
      </c>
      <c r="E63" s="10">
        <v>0</v>
      </c>
      <c r="F63" s="9">
        <v>0</v>
      </c>
      <c r="G63" s="9">
        <v>0</v>
      </c>
      <c r="H63" s="10">
        <v>0</v>
      </c>
      <c r="I63" s="9">
        <v>60</v>
      </c>
      <c r="J63" s="9">
        <v>0</v>
      </c>
      <c r="K63" s="10">
        <v>0</v>
      </c>
      <c r="L63" s="9">
        <v>0</v>
      </c>
      <c r="M63" s="10">
        <v>0</v>
      </c>
      <c r="N63" s="9">
        <v>0</v>
      </c>
      <c r="O63" s="10">
        <v>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10">
        <v>0</v>
      </c>
    </row>
    <row r="64" spans="1:21" s="1" customFormat="1" ht="15.75" x14ac:dyDescent="0.25">
      <c r="A64" s="14">
        <v>294</v>
      </c>
      <c r="B64" s="7">
        <v>55</v>
      </c>
      <c r="C64" s="184" t="s">
        <v>58</v>
      </c>
      <c r="D64" s="9">
        <v>0</v>
      </c>
      <c r="E64" s="10">
        <v>0</v>
      </c>
      <c r="F64" s="9">
        <v>28</v>
      </c>
      <c r="G64" s="9">
        <v>0</v>
      </c>
      <c r="H64" s="10">
        <v>0</v>
      </c>
      <c r="I64" s="9">
        <v>11</v>
      </c>
      <c r="J64" s="9">
        <v>0</v>
      </c>
      <c r="K64" s="10">
        <v>0</v>
      </c>
      <c r="L64" s="9">
        <v>0</v>
      </c>
      <c r="M64" s="10">
        <v>0</v>
      </c>
      <c r="N64" s="9">
        <v>0</v>
      </c>
      <c r="O64" s="10">
        <v>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10">
        <v>0</v>
      </c>
    </row>
    <row r="65" spans="1:21" x14ac:dyDescent="0.25">
      <c r="A65" s="11"/>
      <c r="B65" s="536" t="s">
        <v>92</v>
      </c>
      <c r="C65" s="537"/>
      <c r="D65" s="18">
        <f>SUM(D10:D64)</f>
        <v>60915</v>
      </c>
      <c r="E65" s="19">
        <f t="shared" ref="E65:U65" si="0">SUM(E10:E64)</f>
        <v>202201.5</v>
      </c>
      <c r="F65" s="18">
        <f t="shared" si="0"/>
        <v>36948</v>
      </c>
      <c r="G65" s="18">
        <f t="shared" si="0"/>
        <v>30466</v>
      </c>
      <c r="H65" s="19">
        <f t="shared" si="0"/>
        <v>147397.6</v>
      </c>
      <c r="I65" s="18">
        <f t="shared" si="0"/>
        <v>30466</v>
      </c>
      <c r="J65" s="18">
        <f t="shared" si="0"/>
        <v>123511</v>
      </c>
      <c r="K65" s="19">
        <f t="shared" si="0"/>
        <v>121102.70000000001</v>
      </c>
      <c r="L65" s="18">
        <f t="shared" si="0"/>
        <v>62192</v>
      </c>
      <c r="M65" s="19">
        <f t="shared" si="0"/>
        <v>104689.09999999999</v>
      </c>
      <c r="N65" s="18">
        <f t="shared" si="0"/>
        <v>27347</v>
      </c>
      <c r="O65" s="19">
        <f t="shared" si="0"/>
        <v>58668.1</v>
      </c>
      <c r="P65" s="18">
        <f t="shared" si="0"/>
        <v>2230</v>
      </c>
      <c r="Q65" s="18">
        <f t="shared" si="0"/>
        <v>33001</v>
      </c>
      <c r="R65" s="18">
        <f t="shared" si="0"/>
        <v>10255</v>
      </c>
      <c r="S65" s="19">
        <f t="shared" si="0"/>
        <v>34425.699999999997</v>
      </c>
      <c r="T65" s="18">
        <f t="shared" si="0"/>
        <v>2200</v>
      </c>
      <c r="U65" s="19">
        <f t="shared" si="0"/>
        <v>84793.5</v>
      </c>
    </row>
    <row r="67" spans="1:21" x14ac:dyDescent="0.25">
      <c r="D67" s="223"/>
      <c r="E67" s="223"/>
      <c r="F67" s="223"/>
      <c r="G67" s="223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</row>
  </sheetData>
  <mergeCells count="13">
    <mergeCell ref="B65:C65"/>
    <mergeCell ref="J8:K8"/>
    <mergeCell ref="L8:M8"/>
    <mergeCell ref="N8:O8"/>
    <mergeCell ref="P8:Q8"/>
    <mergeCell ref="A6:U6"/>
    <mergeCell ref="A8:A9"/>
    <mergeCell ref="B8:B9"/>
    <mergeCell ref="C8:C9"/>
    <mergeCell ref="G8:I8"/>
    <mergeCell ref="T8:U8"/>
    <mergeCell ref="R8:S8"/>
    <mergeCell ref="D8:F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5"/>
  <sheetViews>
    <sheetView zoomScaleNormal="100" workbookViewId="0">
      <selection activeCell="C23" sqref="C23"/>
    </sheetView>
  </sheetViews>
  <sheetFormatPr defaultRowHeight="15" x14ac:dyDescent="0.25"/>
  <cols>
    <col min="1" max="1" width="2" customWidth="1"/>
    <col min="2" max="2" width="7.7109375" customWidth="1"/>
    <col min="3" max="3" width="51.42578125" customWidth="1"/>
    <col min="4" max="4" width="15.28515625" customWidth="1"/>
    <col min="5" max="5" width="16" customWidth="1"/>
    <col min="6" max="6" width="3.85546875" customWidth="1"/>
  </cols>
  <sheetData>
    <row r="1" spans="2:5" ht="15.75" x14ac:dyDescent="0.25">
      <c r="B1" s="65"/>
      <c r="C1" s="66"/>
      <c r="E1" s="42" t="s">
        <v>481</v>
      </c>
    </row>
    <row r="2" spans="2:5" ht="15.75" x14ac:dyDescent="0.25">
      <c r="B2" s="65"/>
      <c r="C2" s="66"/>
      <c r="E2" s="43" t="s">
        <v>492</v>
      </c>
    </row>
    <row r="3" spans="2:5" ht="15.75" x14ac:dyDescent="0.25">
      <c r="B3" s="65"/>
      <c r="C3" s="67"/>
      <c r="E3" s="43" t="s">
        <v>0</v>
      </c>
    </row>
    <row r="4" spans="2:5" ht="15.75" x14ac:dyDescent="0.25">
      <c r="B4" s="65"/>
      <c r="C4" s="67"/>
      <c r="E4" s="43" t="s">
        <v>1</v>
      </c>
    </row>
    <row r="5" spans="2:5" ht="15.75" x14ac:dyDescent="0.25">
      <c r="B5" s="65"/>
      <c r="C5" s="67"/>
      <c r="E5" s="44" t="s">
        <v>493</v>
      </c>
    </row>
    <row r="6" spans="2:5" ht="15.75" x14ac:dyDescent="0.25">
      <c r="B6" s="68"/>
      <c r="C6" s="68"/>
      <c r="D6" s="68"/>
      <c r="E6" s="68"/>
    </row>
    <row r="7" spans="2:5" ht="54" customHeight="1" x14ac:dyDescent="0.25">
      <c r="B7" s="541" t="s">
        <v>448</v>
      </c>
      <c r="C7" s="541"/>
      <c r="D7" s="541"/>
      <c r="E7" s="541"/>
    </row>
    <row r="9" spans="2:5" ht="30" x14ac:dyDescent="0.25">
      <c r="B9" s="69" t="s">
        <v>225</v>
      </c>
      <c r="C9" s="69" t="s">
        <v>226</v>
      </c>
      <c r="D9" s="85" t="s">
        <v>462</v>
      </c>
      <c r="E9" s="85" t="s">
        <v>227</v>
      </c>
    </row>
    <row r="10" spans="2:5" x14ac:dyDescent="0.25">
      <c r="B10" s="11">
        <v>61</v>
      </c>
      <c r="C10" s="70" t="s">
        <v>48</v>
      </c>
      <c r="D10" s="71">
        <v>2147</v>
      </c>
      <c r="E10" s="71">
        <v>1</v>
      </c>
    </row>
    <row r="11" spans="2:5" x14ac:dyDescent="0.25">
      <c r="B11" s="11">
        <v>59</v>
      </c>
      <c r="C11" s="70" t="s">
        <v>29</v>
      </c>
      <c r="D11" s="71">
        <v>17420</v>
      </c>
      <c r="E11" s="71">
        <v>26</v>
      </c>
    </row>
    <row r="12" spans="2:5" x14ac:dyDescent="0.25">
      <c r="B12" s="11">
        <v>63</v>
      </c>
      <c r="C12" s="70" t="s">
        <v>30</v>
      </c>
      <c r="D12" s="71">
        <v>2500</v>
      </c>
      <c r="E12" s="71">
        <v>1</v>
      </c>
    </row>
    <row r="13" spans="2:5" x14ac:dyDescent="0.25">
      <c r="B13" s="11">
        <v>65</v>
      </c>
      <c r="C13" s="70" t="s">
        <v>31</v>
      </c>
      <c r="D13" s="71">
        <v>3960</v>
      </c>
      <c r="E13" s="71">
        <v>1</v>
      </c>
    </row>
    <row r="14" spans="2:5" x14ac:dyDescent="0.25">
      <c r="B14" s="11">
        <v>67</v>
      </c>
      <c r="C14" s="70" t="s">
        <v>228</v>
      </c>
      <c r="D14" s="71">
        <v>394</v>
      </c>
      <c r="E14" s="71">
        <v>0</v>
      </c>
    </row>
    <row r="15" spans="2:5" x14ac:dyDescent="0.25">
      <c r="B15" s="11">
        <v>69</v>
      </c>
      <c r="C15" s="70" t="s">
        <v>32</v>
      </c>
      <c r="D15" s="71">
        <v>5706</v>
      </c>
      <c r="E15" s="71">
        <v>1</v>
      </c>
    </row>
    <row r="16" spans="2:5" x14ac:dyDescent="0.25">
      <c r="B16" s="11">
        <v>71</v>
      </c>
      <c r="C16" s="70" t="s">
        <v>14</v>
      </c>
      <c r="D16" s="71">
        <v>4154</v>
      </c>
      <c r="E16" s="71">
        <v>10</v>
      </c>
    </row>
    <row r="17" spans="2:6" x14ac:dyDescent="0.25">
      <c r="B17" s="11">
        <v>103</v>
      </c>
      <c r="C17" s="70" t="s">
        <v>15</v>
      </c>
      <c r="D17" s="71">
        <v>10665</v>
      </c>
      <c r="E17" s="71">
        <v>52</v>
      </c>
    </row>
    <row r="18" spans="2:6" x14ac:dyDescent="0.25">
      <c r="B18" s="11">
        <v>73</v>
      </c>
      <c r="C18" s="70" t="s">
        <v>17</v>
      </c>
      <c r="D18" s="71">
        <v>3100</v>
      </c>
      <c r="E18" s="71">
        <v>8</v>
      </c>
    </row>
    <row r="19" spans="2:6" x14ac:dyDescent="0.25">
      <c r="B19" s="11">
        <v>75</v>
      </c>
      <c r="C19" s="70" t="s">
        <v>229</v>
      </c>
      <c r="D19" s="71">
        <v>3200</v>
      </c>
      <c r="E19" s="71">
        <v>3</v>
      </c>
    </row>
    <row r="20" spans="2:6" x14ac:dyDescent="0.25">
      <c r="B20" s="11">
        <v>275</v>
      </c>
      <c r="C20" s="70" t="s">
        <v>51</v>
      </c>
      <c r="D20" s="71">
        <v>2400</v>
      </c>
      <c r="E20" s="71">
        <v>1</v>
      </c>
    </row>
    <row r="21" spans="2:6" x14ac:dyDescent="0.25">
      <c r="B21" s="11">
        <v>203</v>
      </c>
      <c r="C21" s="70" t="s">
        <v>33</v>
      </c>
      <c r="D21" s="71">
        <v>5516</v>
      </c>
      <c r="E21" s="71">
        <v>4</v>
      </c>
    </row>
    <row r="22" spans="2:6" x14ac:dyDescent="0.25">
      <c r="B22" s="11">
        <v>79</v>
      </c>
      <c r="C22" s="70" t="s">
        <v>34</v>
      </c>
      <c r="D22" s="71">
        <v>740</v>
      </c>
      <c r="E22" s="71">
        <v>0</v>
      </c>
    </row>
    <row r="23" spans="2:6" x14ac:dyDescent="0.25">
      <c r="B23" s="11">
        <v>231</v>
      </c>
      <c r="C23" s="70" t="s">
        <v>54</v>
      </c>
      <c r="D23" s="71">
        <v>7800</v>
      </c>
      <c r="E23" s="71">
        <v>4</v>
      </c>
    </row>
    <row r="24" spans="2:6" x14ac:dyDescent="0.25">
      <c r="B24" s="11">
        <v>115</v>
      </c>
      <c r="C24" s="70" t="s">
        <v>23</v>
      </c>
      <c r="D24" s="71">
        <v>6736</v>
      </c>
      <c r="E24" s="71">
        <v>1</v>
      </c>
      <c r="F24" s="1"/>
    </row>
    <row r="25" spans="2:6" x14ac:dyDescent="0.25">
      <c r="B25" s="11">
        <v>81</v>
      </c>
      <c r="C25" s="70" t="s">
        <v>35</v>
      </c>
      <c r="D25" s="71">
        <v>30</v>
      </c>
      <c r="E25" s="71">
        <v>0</v>
      </c>
      <c r="F25" s="1"/>
    </row>
    <row r="26" spans="2:6" x14ac:dyDescent="0.25">
      <c r="B26" s="11">
        <v>83</v>
      </c>
      <c r="C26" s="70" t="s">
        <v>26</v>
      </c>
      <c r="D26" s="71">
        <v>13298</v>
      </c>
      <c r="E26" s="71">
        <v>8</v>
      </c>
      <c r="F26" s="1"/>
    </row>
    <row r="27" spans="2:6" x14ac:dyDescent="0.25">
      <c r="B27" s="11">
        <v>85</v>
      </c>
      <c r="C27" s="70" t="s">
        <v>36</v>
      </c>
      <c r="D27" s="71">
        <v>2120</v>
      </c>
      <c r="E27" s="71">
        <v>4</v>
      </c>
      <c r="F27" s="1"/>
    </row>
    <row r="28" spans="2:6" x14ac:dyDescent="0.25">
      <c r="B28" s="11">
        <v>87</v>
      </c>
      <c r="C28" s="70" t="s">
        <v>28</v>
      </c>
      <c r="D28" s="71">
        <v>3406</v>
      </c>
      <c r="E28" s="71">
        <v>12</v>
      </c>
      <c r="F28" s="1"/>
    </row>
    <row r="29" spans="2:6" x14ac:dyDescent="0.25">
      <c r="B29" s="11">
        <v>144</v>
      </c>
      <c r="C29" s="70" t="s">
        <v>24</v>
      </c>
      <c r="D29" s="71">
        <v>1595</v>
      </c>
      <c r="E29" s="71">
        <v>0</v>
      </c>
      <c r="F29" s="1"/>
    </row>
    <row r="30" spans="2:6" x14ac:dyDescent="0.25">
      <c r="B30" s="11">
        <v>292</v>
      </c>
      <c r="C30" s="70" t="s">
        <v>22</v>
      </c>
      <c r="D30" s="71">
        <v>1222</v>
      </c>
      <c r="E30" s="71">
        <v>0</v>
      </c>
      <c r="F30" s="1"/>
    </row>
    <row r="31" spans="2:6" x14ac:dyDescent="0.25">
      <c r="B31" s="11">
        <v>321</v>
      </c>
      <c r="C31" s="70" t="s">
        <v>230</v>
      </c>
      <c r="D31" s="71">
        <v>159819</v>
      </c>
      <c r="E31" s="71">
        <v>26</v>
      </c>
      <c r="F31" s="1"/>
    </row>
    <row r="32" spans="2:6" x14ac:dyDescent="0.25">
      <c r="B32" s="11">
        <v>354</v>
      </c>
      <c r="C32" s="70" t="s">
        <v>59</v>
      </c>
      <c r="D32" s="71">
        <v>29595</v>
      </c>
      <c r="E32" s="71">
        <v>30</v>
      </c>
    </row>
    <row r="33" spans="2:5" x14ac:dyDescent="0.25">
      <c r="B33" s="72" t="s">
        <v>43</v>
      </c>
      <c r="C33" s="72"/>
      <c r="D33" s="73">
        <f>SUM(D10:D32)</f>
        <v>287523</v>
      </c>
      <c r="E33" s="73">
        <f>SUM(E10:E32)</f>
        <v>193</v>
      </c>
    </row>
    <row r="34" spans="2:5" ht="28.5" customHeight="1" x14ac:dyDescent="0.25">
      <c r="B34" s="542" t="s">
        <v>218</v>
      </c>
      <c r="C34" s="542"/>
      <c r="D34" s="183">
        <f>D35-D33</f>
        <v>5090</v>
      </c>
      <c r="E34" s="71"/>
    </row>
    <row r="35" spans="2:5" x14ac:dyDescent="0.25">
      <c r="B35" s="543" t="s">
        <v>45</v>
      </c>
      <c r="C35" s="543"/>
      <c r="D35" s="183">
        <f>292613</f>
        <v>292613</v>
      </c>
      <c r="E35" s="74"/>
    </row>
  </sheetData>
  <mergeCells count="3">
    <mergeCell ref="B7:E7"/>
    <mergeCell ref="B34:C34"/>
    <mergeCell ref="B35:C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Приложение № 2</vt:lpstr>
      <vt:lpstr>Приложение № 3</vt:lpstr>
      <vt:lpstr>Приложение № 4</vt:lpstr>
      <vt:lpstr>Приложение № 5</vt:lpstr>
      <vt:lpstr>Приложение № 6</vt:lpstr>
      <vt:lpstr>'Приложение № 5'!Область_печати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2025-11-06T09:04:42Z</dcterms:modified>
</cp:coreProperties>
</file>